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autoCompressPictures="0"/>
  <mc:AlternateContent xmlns:mc="http://schemas.openxmlformats.org/markup-compatibility/2006">
    <mc:Choice Requires="x15">
      <x15ac:absPath xmlns:x15ac="http://schemas.microsoft.com/office/spreadsheetml/2010/11/ac" url="https://michiganstate.sharepoint.com/sites/InstituteofPublicUtilities/Shared Documents/Download 4.24.24/Desktop work home 4.9.20/Ratemaking/2024/Fall 2024/Presentations/"/>
    </mc:Choice>
  </mc:AlternateContent>
  <xr:revisionPtr revIDLastSave="1" documentId="8_{77B7C4B6-51C7-4B42-B3FB-A5A1901FFC6A}" xr6:coauthVersionLast="47" xr6:coauthVersionMax="47" xr10:uidLastSave="{D0E88BBF-5453-4BC9-83CF-BD38C5F9E576}"/>
  <bookViews>
    <workbookView xWindow="-28920" yWindow="-1980" windowWidth="29040" windowHeight="15840" tabRatio="756" xr2:uid="{00000000-000D-0000-FFFF-FFFF00000000}"/>
  </bookViews>
  <sheets>
    <sheet name="1-Contents" sheetId="107" r:id="rId1"/>
    <sheet name="2-Cover" sheetId="43" r:id="rId2"/>
    <sheet name="3-York" sheetId="67" r:id="rId3"/>
    <sheet name="4-Trends" sheetId="103" r:id="rId4"/>
    <sheet name="5-Plant" sheetId="58" r:id="rId5"/>
    <sheet name="6-Deprec" sheetId="77" r:id="rId6"/>
    <sheet name="7-Plant life" sheetId="79" r:id="rId7"/>
    <sheet name="8-CWIP" sheetId="78" r:id="rId8"/>
    <sheet name="9-Assets" sheetId="74" r:id="rId9"/>
    <sheet name="10-Liabilities" sheetId="75" r:id="rId10"/>
    <sheet name="11-Earnings" sheetId="90" r:id="rId11"/>
    <sheet name="12-Debt" sheetId="88" r:id="rId12"/>
    <sheet name="14-Rate base X" sheetId="109" state="hidden" r:id="rId13"/>
    <sheet name="13-Reg A&amp;L" sheetId="80" r:id="rId14"/>
    <sheet name="14-Rate base" sheetId="91" r:id="rId15"/>
    <sheet name="15-Income" sheetId="4" r:id="rId16"/>
    <sheet name="16-Inc compare" sheetId="106" r:id="rId17"/>
    <sheet name="17-Revenues" sheetId="68" r:id="rId18"/>
    <sheet name="18-Expenses" sheetId="73" r:id="rId19"/>
    <sheet name="19-Exp function" sheetId="72" r:id="rId20"/>
    <sheet name="20-Cash flow" sheetId="81" r:id="rId21"/>
    <sheet name="21-Capital" sheetId="93" r:id="rId22"/>
    <sheet name="22-Returns" sheetId="101" r:id="rId23"/>
    <sheet name="23-Rev require" sheetId="104" r:id="rId24"/>
    <sheet name="24-Conversion" sheetId="92" r:id="rId25"/>
    <sheet name="25-Deficiency" sheetId="96" r:id="rId26"/>
    <sheet name="21-Capital X" sheetId="108" state="hidden" r:id="rId27"/>
    <sheet name="25-Deficiency X" sheetId="112" state="hidden" r:id="rId28"/>
    <sheet name="26-Defic-non" sheetId="100" r:id="rId29"/>
    <sheet name="27-Withdrawals" sheetId="102" r:id="rId30"/>
    <sheet name="28-Deliveries" sheetId="69" r:id="rId31"/>
    <sheet name="29-Nonrevenue" sheetId="122" r:id="rId32"/>
    <sheet name="30-Prices" sheetId="105" r:id="rId33"/>
    <sheet name="31-Demand" sheetId="95" r:id="rId34"/>
    <sheet name="32-Usage trends" sheetId="126" r:id="rId35"/>
    <sheet name="30-Prices X" sheetId="123" state="hidden" r:id="rId36"/>
    <sheet name="34-Allocate X" sheetId="120" state="hidden" r:id="rId37"/>
    <sheet name="33-Functionalize" sheetId="114" r:id="rId38"/>
    <sheet name="34-Allocate" sheetId="115" r:id="rId39"/>
    <sheet name="35-Rev increase" sheetId="82" r:id="rId40"/>
    <sheet name="36-Rev detail" sheetId="83" r:id="rId41"/>
    <sheet name="37-Bills" sheetId="61" r:id="rId42"/>
    <sheet name="38-PA rates" sheetId="64" r:id="rId43"/>
    <sheet name="37-Bills X" sheetId="110" state="hidden" r:id="rId44"/>
    <sheet name="39-PA calculator" sheetId="66" r:id="rId45"/>
  </sheets>
  <externalReferences>
    <externalReference r:id="rId46"/>
  </externalReferences>
  <definedNames>
    <definedName name="inc_tax" localSheetId="10">#REF!</definedName>
    <definedName name="inc_tax" localSheetId="11">#REF!</definedName>
    <definedName name="inc_tax" localSheetId="14">#REF!</definedName>
    <definedName name="inc_tax" localSheetId="12">#REF!</definedName>
    <definedName name="inc_tax" localSheetId="21">#REF!</definedName>
    <definedName name="inc_tax" localSheetId="26">#REF!</definedName>
    <definedName name="inc_tax" localSheetId="28">#REF!</definedName>
    <definedName name="inc_tax">#REF!</definedName>
    <definedName name="prime">'[1]Debt D-2'!$G$19</definedName>
    <definedName name="_xlnm.Print_Area" localSheetId="44">'39-PA calculator'!$AE$4:$AF$39</definedName>
    <definedName name="sheet003_Print_Area" localSheetId="14">'14-Rate base'!#REF!</definedName>
    <definedName name="sheet003_Print_Area" localSheetId="12">'14-Rate base X'!#REF!</definedName>
    <definedName name="sheet004_Print_Area" localSheetId="14">'14-Rate base'!#REF!</definedName>
    <definedName name="sheet004_Print_Area" localSheetId="12">'14-Rate base X'!#REF!</definedName>
    <definedName name="TR" localSheetId="10">#REF!</definedName>
    <definedName name="TR" localSheetId="11">#REF!</definedName>
    <definedName name="TR" localSheetId="14">#REF!</definedName>
    <definedName name="TR" localSheetId="12">#REF!</definedName>
    <definedName name="TR" localSheetId="21">#REF!</definedName>
    <definedName name="TR" localSheetId="26">#REF!</definedName>
    <definedName name="TR" localSheetId="28">#REF!</definedName>
    <definedName name="T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3" i="122" l="1"/>
  <c r="D12" i="122"/>
  <c r="D11" i="122"/>
  <c r="E13" i="122"/>
  <c r="E12" i="122"/>
  <c r="E11" i="122"/>
  <c r="D30" i="126"/>
  <c r="D31" i="126" s="1"/>
  <c r="D29" i="126"/>
  <c r="E30" i="126"/>
  <c r="D28" i="126"/>
  <c r="D26" i="126"/>
  <c r="D24" i="126"/>
  <c r="D22" i="126"/>
  <c r="D19" i="126"/>
  <c r="S30" i="126"/>
  <c r="R30" i="126"/>
  <c r="U18" i="126"/>
  <c r="U17" i="126"/>
  <c r="U16" i="126"/>
  <c r="U15" i="126"/>
  <c r="U14" i="126"/>
  <c r="U13" i="126"/>
  <c r="U10" i="126"/>
  <c r="U9" i="126"/>
  <c r="U4" i="126"/>
  <c r="D20" i="103"/>
  <c r="D22" i="103" s="1"/>
  <c r="D24" i="103" s="1"/>
  <c r="D8" i="103"/>
  <c r="D7" i="103"/>
  <c r="E29" i="126"/>
  <c r="E22" i="126"/>
  <c r="E19" i="126"/>
  <c r="E24" i="126" s="1"/>
  <c r="D11" i="103"/>
  <c r="E21" i="103"/>
  <c r="E20" i="103"/>
  <c r="E8" i="103"/>
  <c r="D18" i="100"/>
  <c r="B26" i="92"/>
  <c r="F7" i="122"/>
  <c r="G7" i="122"/>
  <c r="F30" i="126"/>
  <c r="F29" i="126"/>
  <c r="F22" i="126"/>
  <c r="F8" i="122" s="1"/>
  <c r="F19" i="126"/>
  <c r="F6" i="122" s="1"/>
  <c r="F21" i="103"/>
  <c r="F23" i="103"/>
  <c r="F20" i="103"/>
  <c r="F22" i="103" s="1"/>
  <c r="F24" i="103" s="1"/>
  <c r="F18" i="103"/>
  <c r="F11" i="103"/>
  <c r="F8" i="103"/>
  <c r="D22" i="92"/>
  <c r="R31" i="126" l="1"/>
  <c r="E26" i="126"/>
  <c r="E31" i="126"/>
  <c r="E22" i="103"/>
  <c r="E24" i="103" s="1"/>
  <c r="F24" i="126"/>
  <c r="F5" i="122" s="1"/>
  <c r="G30" i="126"/>
  <c r="F31" i="126" s="1"/>
  <c r="G29" i="126"/>
  <c r="G22" i="126"/>
  <c r="G8" i="122" s="1"/>
  <c r="G19" i="126"/>
  <c r="G24" i="126" s="1"/>
  <c r="I10" i="114"/>
  <c r="B6" i="104"/>
  <c r="B7" i="104"/>
  <c r="B8" i="104"/>
  <c r="B9" i="104"/>
  <c r="B10" i="104"/>
  <c r="B11" i="104"/>
  <c r="B12" i="104"/>
  <c r="B13" i="104"/>
  <c r="B14" i="104"/>
  <c r="B15" i="104"/>
  <c r="B16" i="104"/>
  <c r="B17" i="104"/>
  <c r="B18" i="104"/>
  <c r="B19" i="104"/>
  <c r="B20" i="104"/>
  <c r="B21" i="104"/>
  <c r="B22" i="104"/>
  <c r="B23" i="104"/>
  <c r="B24" i="104"/>
  <c r="B25" i="104"/>
  <c r="B26" i="104"/>
  <c r="B27" i="104"/>
  <c r="B28" i="104"/>
  <c r="B29" i="104"/>
  <c r="B30" i="104"/>
  <c r="B31" i="104"/>
  <c r="B32" i="104"/>
  <c r="B33" i="104"/>
  <c r="B34" i="104"/>
  <c r="B35" i="104"/>
  <c r="B36" i="104"/>
  <c r="B37" i="104"/>
  <c r="B38" i="104"/>
  <c r="B39" i="104"/>
  <c r="B40" i="104"/>
  <c r="B41" i="104"/>
  <c r="E18" i="108"/>
  <c r="E15" i="108"/>
  <c r="E13" i="108"/>
  <c r="E8" i="108"/>
  <c r="B29" i="109"/>
  <c r="B30" i="109"/>
  <c r="B31" i="109"/>
  <c r="B32" i="109"/>
  <c r="G21" i="103"/>
  <c r="G8" i="103"/>
  <c r="B34" i="107"/>
  <c r="B55" i="106"/>
  <c r="E49" i="106"/>
  <c r="F49" i="106"/>
  <c r="B5" i="104"/>
  <c r="F26" i="75"/>
  <c r="F29" i="75"/>
  <c r="I22" i="126"/>
  <c r="J22" i="126"/>
  <c r="S22" i="126"/>
  <c r="S21" i="126"/>
  <c r="U21" i="126" s="1"/>
  <c r="R22" i="126"/>
  <c r="Q22" i="126"/>
  <c r="M22" i="126"/>
  <c r="L22" i="126"/>
  <c r="I19" i="126"/>
  <c r="I24" i="126" s="1"/>
  <c r="I26" i="126" s="1"/>
  <c r="K22" i="126"/>
  <c r="H22" i="126"/>
  <c r="Q30" i="126"/>
  <c r="Q31" i="126" s="1"/>
  <c r="P30" i="126"/>
  <c r="O30" i="126"/>
  <c r="N30" i="126"/>
  <c r="N31" i="126" s="1"/>
  <c r="M30" i="126"/>
  <c r="L30" i="126"/>
  <c r="L31" i="126" s="1"/>
  <c r="K30" i="126"/>
  <c r="J30" i="126"/>
  <c r="I30" i="126"/>
  <c r="I31" i="126" s="1"/>
  <c r="H30" i="126"/>
  <c r="R29" i="126"/>
  <c r="Q29" i="126"/>
  <c r="P29" i="126"/>
  <c r="O29" i="126"/>
  <c r="N29" i="126"/>
  <c r="M29" i="126"/>
  <c r="L29" i="126"/>
  <c r="K29" i="126"/>
  <c r="J29" i="126"/>
  <c r="I29" i="126"/>
  <c r="H29" i="126"/>
  <c r="S19" i="126"/>
  <c r="R19" i="126"/>
  <c r="Q19" i="126"/>
  <c r="P19" i="126"/>
  <c r="O19" i="126"/>
  <c r="O24" i="126" s="1"/>
  <c r="N19" i="126"/>
  <c r="N24" i="126" s="1"/>
  <c r="N26" i="126" s="1"/>
  <c r="M19" i="126"/>
  <c r="L19" i="126"/>
  <c r="L24" i="126" s="1"/>
  <c r="K19" i="126"/>
  <c r="J19" i="126"/>
  <c r="H19" i="126"/>
  <c r="B5" i="126"/>
  <c r="B6" i="126"/>
  <c r="B7" i="126" s="1"/>
  <c r="B8" i="126" s="1"/>
  <c r="B9" i="126" s="1"/>
  <c r="B10" i="126" s="1"/>
  <c r="B11" i="126" s="1"/>
  <c r="B12" i="126" s="1"/>
  <c r="B13" i="126" s="1"/>
  <c r="B14" i="126" s="1"/>
  <c r="B15" i="126" s="1"/>
  <c r="B16" i="126" s="1"/>
  <c r="B17" i="126" s="1"/>
  <c r="B18" i="126" s="1"/>
  <c r="B19" i="126" s="1"/>
  <c r="B20" i="126" s="1"/>
  <c r="B21" i="126" s="1"/>
  <c r="B22" i="126" s="1"/>
  <c r="B23" i="126" s="1"/>
  <c r="B24" i="126" s="1"/>
  <c r="B25" i="126" s="1"/>
  <c r="B26" i="126" s="1"/>
  <c r="B27" i="126" s="1"/>
  <c r="B28" i="126" s="1"/>
  <c r="P24" i="126"/>
  <c r="B5" i="82"/>
  <c r="B6" i="82"/>
  <c r="B7" i="82"/>
  <c r="B8" i="82"/>
  <c r="B9" i="82"/>
  <c r="B10" i="82"/>
  <c r="G13" i="88"/>
  <c r="B5" i="95"/>
  <c r="B6" i="95"/>
  <c r="B7" i="95"/>
  <c r="B8" i="95"/>
  <c r="B9" i="95"/>
  <c r="B10" i="95"/>
  <c r="B11" i="95"/>
  <c r="B12" i="95"/>
  <c r="B13" i="95"/>
  <c r="B5" i="123"/>
  <c r="J4" i="123"/>
  <c r="I4" i="123"/>
  <c r="H4" i="123"/>
  <c r="G4" i="123"/>
  <c r="F4" i="123"/>
  <c r="E4" i="123"/>
  <c r="D4" i="123"/>
  <c r="K4" i="123"/>
  <c r="J4" i="105"/>
  <c r="I4" i="105"/>
  <c r="H4" i="105"/>
  <c r="G4" i="105"/>
  <c r="F4" i="105"/>
  <c r="E4" i="105"/>
  <c r="D4" i="105"/>
  <c r="K4" i="105"/>
  <c r="B5" i="105"/>
  <c r="B6" i="105"/>
  <c r="B7" i="105"/>
  <c r="B8" i="105"/>
  <c r="B9" i="105"/>
  <c r="B10" i="105"/>
  <c r="B11" i="105"/>
  <c r="B12" i="105"/>
  <c r="B13" i="105"/>
  <c r="B14" i="105"/>
  <c r="B15" i="105"/>
  <c r="H16" i="122"/>
  <c r="H21" i="122"/>
  <c r="H20" i="122"/>
  <c r="B31" i="107"/>
  <c r="J6" i="123"/>
  <c r="J5" i="123"/>
  <c r="J11" i="123"/>
  <c r="I6" i="123"/>
  <c r="I5" i="123"/>
  <c r="I11" i="123"/>
  <c r="D6" i="123"/>
  <c r="E6" i="123"/>
  <c r="F6" i="123"/>
  <c r="G6" i="123"/>
  <c r="H6" i="123"/>
  <c r="K6" i="123"/>
  <c r="J8" i="123"/>
  <c r="I8" i="123"/>
  <c r="H8" i="123"/>
  <c r="D5" i="123"/>
  <c r="E5" i="123"/>
  <c r="F5" i="123"/>
  <c r="G5" i="123"/>
  <c r="K5" i="123"/>
  <c r="J7" i="123"/>
  <c r="I7" i="123"/>
  <c r="H7" i="123"/>
  <c r="E13" i="68"/>
  <c r="E19" i="68"/>
  <c r="L22" i="120"/>
  <c r="L22" i="115"/>
  <c r="J22" i="120"/>
  <c r="J21" i="120"/>
  <c r="I22" i="120"/>
  <c r="I20" i="120"/>
  <c r="H22" i="120"/>
  <c r="H19" i="120"/>
  <c r="G22" i="120"/>
  <c r="G19" i="120"/>
  <c r="B6" i="123"/>
  <c r="B7" i="123"/>
  <c r="B8" i="123"/>
  <c r="B9" i="123"/>
  <c r="B10" i="123"/>
  <c r="B11" i="123"/>
  <c r="B12" i="123"/>
  <c r="B13" i="123"/>
  <c r="B14" i="123"/>
  <c r="B15" i="123"/>
  <c r="B16" i="123"/>
  <c r="D5" i="105"/>
  <c r="D6" i="105"/>
  <c r="E6" i="105"/>
  <c r="F6" i="105"/>
  <c r="G6" i="105"/>
  <c r="H6" i="105"/>
  <c r="I6" i="105"/>
  <c r="J6" i="105"/>
  <c r="K6" i="105"/>
  <c r="E5" i="105"/>
  <c r="F5" i="105"/>
  <c r="G5" i="105"/>
  <c r="I5" i="105"/>
  <c r="J5" i="105"/>
  <c r="K5" i="105"/>
  <c r="K11" i="105"/>
  <c r="D15" i="105"/>
  <c r="D16" i="105"/>
  <c r="E15" i="105"/>
  <c r="E16" i="105"/>
  <c r="F15" i="105"/>
  <c r="F16" i="105"/>
  <c r="G15" i="105"/>
  <c r="G16" i="105"/>
  <c r="H15" i="105"/>
  <c r="H16" i="105"/>
  <c r="I15" i="105"/>
  <c r="I16" i="105"/>
  <c r="J15" i="105"/>
  <c r="J16" i="105"/>
  <c r="K16" i="105"/>
  <c r="K15" i="105"/>
  <c r="D11" i="105"/>
  <c r="Q5" i="122"/>
  <c r="O5" i="122"/>
  <c r="K5" i="122"/>
  <c r="J8" i="122"/>
  <c r="H24" i="122"/>
  <c r="S12" i="122"/>
  <c r="Q12" i="122"/>
  <c r="P12" i="122"/>
  <c r="O12" i="122"/>
  <c r="N12" i="122"/>
  <c r="M12" i="122"/>
  <c r="L12" i="122"/>
  <c r="K12" i="122"/>
  <c r="J12" i="122"/>
  <c r="I12" i="122"/>
  <c r="I11" i="122"/>
  <c r="J11" i="122"/>
  <c r="K11" i="122"/>
  <c r="L11" i="122"/>
  <c r="M11" i="122"/>
  <c r="N11" i="122"/>
  <c r="O11" i="122"/>
  <c r="P11" i="122"/>
  <c r="Q11" i="122"/>
  <c r="R11" i="122"/>
  <c r="S11" i="122"/>
  <c r="H12" i="122"/>
  <c r="H11" i="122"/>
  <c r="K11" i="123"/>
  <c r="K8" i="123"/>
  <c r="K7" i="123"/>
  <c r="H41" i="122"/>
  <c r="H40" i="122"/>
  <c r="H39" i="122"/>
  <c r="H31" i="122"/>
  <c r="H30" i="122"/>
  <c r="H29" i="122"/>
  <c r="R13" i="122"/>
  <c r="S13" i="122"/>
  <c r="K13" i="122"/>
  <c r="L13" i="122"/>
  <c r="M13" i="122"/>
  <c r="N13" i="122"/>
  <c r="O13" i="122"/>
  <c r="P13" i="122"/>
  <c r="Q13" i="122"/>
  <c r="H15" i="123"/>
  <c r="H16" i="123"/>
  <c r="D15" i="123"/>
  <c r="E15" i="123"/>
  <c r="E16" i="123"/>
  <c r="F15" i="123"/>
  <c r="F16" i="123"/>
  <c r="G15" i="123"/>
  <c r="G16" i="123"/>
  <c r="I15" i="123"/>
  <c r="I16" i="123"/>
  <c r="J15" i="123"/>
  <c r="J16" i="123"/>
  <c r="B6" i="122"/>
  <c r="B7" i="122"/>
  <c r="B8" i="122"/>
  <c r="B9" i="122"/>
  <c r="B10" i="122" s="1"/>
  <c r="B11" i="122" s="1"/>
  <c r="B12" i="122" s="1"/>
  <c r="B13" i="122" s="1"/>
  <c r="B14" i="122" s="1"/>
  <c r="B15" i="122" s="1"/>
  <c r="B16" i="122" s="1"/>
  <c r="B17" i="122" s="1"/>
  <c r="B18" i="122" s="1"/>
  <c r="B19" i="122" s="1"/>
  <c r="B20" i="122" s="1"/>
  <c r="B21" i="122" s="1"/>
  <c r="B22" i="122" s="1"/>
  <c r="B23" i="122" s="1"/>
  <c r="B24" i="122" s="1"/>
  <c r="B25" i="122" s="1"/>
  <c r="B26" i="122" s="1"/>
  <c r="B27" i="122" s="1"/>
  <c r="B28" i="122" s="1"/>
  <c r="B29" i="122" s="1"/>
  <c r="B30" i="122" s="1"/>
  <c r="B31" i="122" s="1"/>
  <c r="B32" i="122" s="1"/>
  <c r="B33" i="122" s="1"/>
  <c r="B34" i="122" s="1"/>
  <c r="B35" i="122" s="1"/>
  <c r="B36" i="122" s="1"/>
  <c r="B37" i="122" s="1"/>
  <c r="B38" i="122" s="1"/>
  <c r="B39" i="122" s="1"/>
  <c r="B40" i="122" s="1"/>
  <c r="B41" i="122" s="1"/>
  <c r="I13" i="122"/>
  <c r="J13" i="122"/>
  <c r="H13" i="122"/>
  <c r="J28" i="69"/>
  <c r="H28" i="69"/>
  <c r="B5" i="103"/>
  <c r="B6" i="103" s="1"/>
  <c r="B7" i="103" s="1"/>
  <c r="B8" i="103" s="1"/>
  <c r="B9" i="103" s="1"/>
  <c r="B10" i="103" s="1"/>
  <c r="B11" i="103" s="1"/>
  <c r="B12" i="103" s="1"/>
  <c r="B13" i="103" s="1"/>
  <c r="B14" i="103" s="1"/>
  <c r="B15" i="103" s="1"/>
  <c r="B16" i="103" s="1"/>
  <c r="B17" i="103" s="1"/>
  <c r="B18" i="103" s="1"/>
  <c r="B19" i="103" s="1"/>
  <c r="B20" i="103" s="1"/>
  <c r="B21" i="103" s="1"/>
  <c r="B22" i="103" s="1"/>
  <c r="B23" i="103" s="1"/>
  <c r="B24" i="103" s="1"/>
  <c r="B25" i="103" s="1"/>
  <c r="B26" i="103" s="1"/>
  <c r="B27" i="103" s="1"/>
  <c r="B28" i="103" s="1"/>
  <c r="B29" i="103" s="1"/>
  <c r="B30" i="103" s="1"/>
  <c r="B31" i="103" s="1"/>
  <c r="B32" i="103" s="1"/>
  <c r="B33" i="103" s="1"/>
  <c r="B34" i="103" s="1"/>
  <c r="B35" i="103" s="1"/>
  <c r="B36" i="103" s="1"/>
  <c r="B37" i="103" s="1"/>
  <c r="T8" i="103"/>
  <c r="W8" i="103"/>
  <c r="V8" i="103"/>
  <c r="U8" i="103"/>
  <c r="S8" i="103"/>
  <c r="R8" i="103"/>
  <c r="Q8" i="103"/>
  <c r="P8" i="103"/>
  <c r="O8" i="103"/>
  <c r="N8" i="103"/>
  <c r="M8" i="103"/>
  <c r="L8" i="103"/>
  <c r="K8" i="103"/>
  <c r="J8" i="103"/>
  <c r="I8" i="103"/>
  <c r="H8" i="103"/>
  <c r="F8" i="73"/>
  <c r="F16" i="73"/>
  <c r="F25" i="73"/>
  <c r="F31" i="73"/>
  <c r="F38" i="73"/>
  <c r="F61" i="73"/>
  <c r="F63" i="73"/>
  <c r="F6" i="4"/>
  <c r="F11" i="4"/>
  <c r="F17" i="4"/>
  <c r="F22" i="4"/>
  <c r="F26" i="4"/>
  <c r="F28" i="4"/>
  <c r="D13" i="112"/>
  <c r="H13" i="112"/>
  <c r="H19" i="112"/>
  <c r="F19" i="112"/>
  <c r="J18" i="112"/>
  <c r="J17" i="112"/>
  <c r="J19" i="112"/>
  <c r="E7" i="92"/>
  <c r="E8" i="92"/>
  <c r="E9" i="92"/>
  <c r="E10" i="92"/>
  <c r="E13" i="92"/>
  <c r="E14" i="92"/>
  <c r="E16" i="92" s="1"/>
  <c r="E17" i="92"/>
  <c r="E19" i="92"/>
  <c r="D19" i="92"/>
  <c r="D25" i="92"/>
  <c r="F21" i="112"/>
  <c r="E5" i="104"/>
  <c r="E16" i="104"/>
  <c r="E8" i="58"/>
  <c r="E21" i="58"/>
  <c r="E32" i="58"/>
  <c r="E46" i="58"/>
  <c r="E60" i="58"/>
  <c r="E62" i="58"/>
  <c r="F4" i="91"/>
  <c r="F6" i="91"/>
  <c r="F7" i="91"/>
  <c r="F12" i="91"/>
  <c r="F18" i="91"/>
  <c r="F20" i="91"/>
  <c r="F30" i="91"/>
  <c r="F32" i="91"/>
  <c r="E17" i="104"/>
  <c r="E18" i="104" s="1"/>
  <c r="J21" i="112"/>
  <c r="H21" i="112"/>
  <c r="I20" i="115"/>
  <c r="L20" i="115"/>
  <c r="J12" i="120"/>
  <c r="I12" i="120"/>
  <c r="H12" i="120"/>
  <c r="G12" i="120"/>
  <c r="F12" i="120"/>
  <c r="E12" i="120"/>
  <c r="D12" i="120"/>
  <c r="L11" i="120"/>
  <c r="L10" i="120"/>
  <c r="L9" i="120"/>
  <c r="L8" i="120"/>
  <c r="L7" i="120"/>
  <c r="L6" i="120"/>
  <c r="L5" i="120"/>
  <c r="L12" i="120"/>
  <c r="B5" i="120"/>
  <c r="B6" i="120"/>
  <c r="B7" i="120"/>
  <c r="B8" i="120"/>
  <c r="B9" i="120"/>
  <c r="B10" i="120"/>
  <c r="B11" i="120"/>
  <c r="B12" i="120"/>
  <c r="B13" i="120"/>
  <c r="B14" i="120"/>
  <c r="B15" i="120"/>
  <c r="B16" i="120"/>
  <c r="B17" i="120"/>
  <c r="B18" i="120"/>
  <c r="B19" i="120"/>
  <c r="B20" i="120"/>
  <c r="B21" i="120"/>
  <c r="B22" i="120"/>
  <c r="B5" i="115"/>
  <c r="B6" i="115"/>
  <c r="B7" i="115"/>
  <c r="B8" i="115"/>
  <c r="B9" i="115"/>
  <c r="B10" i="115"/>
  <c r="B11" i="115"/>
  <c r="B12" i="115"/>
  <c r="B13" i="115"/>
  <c r="B14" i="115"/>
  <c r="B15" i="115"/>
  <c r="B16" i="115"/>
  <c r="B17" i="115"/>
  <c r="B18" i="115"/>
  <c r="B19" i="115"/>
  <c r="B20" i="115"/>
  <c r="B21" i="115"/>
  <c r="B22" i="115"/>
  <c r="J22" i="115"/>
  <c r="I22" i="115"/>
  <c r="H22" i="115"/>
  <c r="G22" i="115"/>
  <c r="F22" i="115"/>
  <c r="E22" i="115"/>
  <c r="D22" i="115"/>
  <c r="J21" i="115"/>
  <c r="L10" i="115"/>
  <c r="I12" i="115"/>
  <c r="C6" i="96"/>
  <c r="C6" i="112"/>
  <c r="D23" i="112"/>
  <c r="D6" i="112"/>
  <c r="B5" i="112"/>
  <c r="B6" i="112"/>
  <c r="B7" i="112"/>
  <c r="B8" i="112"/>
  <c r="D9" i="112"/>
  <c r="J9" i="112"/>
  <c r="B5" i="96"/>
  <c r="B6" i="96"/>
  <c r="B7" i="96"/>
  <c r="B8" i="96"/>
  <c r="B9" i="96"/>
  <c r="B10" i="96"/>
  <c r="B11" i="96"/>
  <c r="B12" i="96"/>
  <c r="B13" i="96"/>
  <c r="B14" i="96"/>
  <c r="B15" i="96"/>
  <c r="B16" i="96"/>
  <c r="B17" i="96"/>
  <c r="B18" i="96"/>
  <c r="B19" i="96"/>
  <c r="B20" i="96"/>
  <c r="B21" i="96"/>
  <c r="B22" i="96"/>
  <c r="B23" i="96"/>
  <c r="B24" i="96"/>
  <c r="B25" i="96"/>
  <c r="B26" i="96"/>
  <c r="B27" i="96"/>
  <c r="B28" i="96"/>
  <c r="B29" i="96"/>
  <c r="B30" i="96"/>
  <c r="B31" i="96"/>
  <c r="B32" i="96"/>
  <c r="B33" i="96"/>
  <c r="B34" i="96"/>
  <c r="B35" i="96"/>
  <c r="B36" i="96"/>
  <c r="B37" i="96"/>
  <c r="B38" i="96"/>
  <c r="D9" i="96"/>
  <c r="J9" i="96"/>
  <c r="F4" i="109"/>
  <c r="B35" i="107"/>
  <c r="B6" i="107"/>
  <c r="B40" i="107"/>
  <c r="B16" i="105"/>
  <c r="E29" i="68"/>
  <c r="I17" i="69"/>
  <c r="I36" i="69"/>
  <c r="J17" i="69"/>
  <c r="H17" i="69"/>
  <c r="H36" i="69"/>
  <c r="G11" i="105"/>
  <c r="G12" i="105"/>
  <c r="I11" i="105"/>
  <c r="I7" i="83"/>
  <c r="I11" i="83"/>
  <c r="I15" i="83"/>
  <c r="I19" i="83"/>
  <c r="I23" i="83"/>
  <c r="I25" i="83"/>
  <c r="I27" i="83"/>
  <c r="B41" i="107"/>
  <c r="B39" i="107"/>
  <c r="B37" i="107"/>
  <c r="B38" i="107"/>
  <c r="B36" i="107"/>
  <c r="B29" i="107"/>
  <c r="B33" i="107"/>
  <c r="J12" i="115"/>
  <c r="H12" i="115"/>
  <c r="G12" i="115"/>
  <c r="F12" i="115"/>
  <c r="E12" i="115"/>
  <c r="D12" i="115"/>
  <c r="L9" i="115"/>
  <c r="L11" i="115"/>
  <c r="L8" i="115"/>
  <c r="L7" i="115"/>
  <c r="L6" i="115"/>
  <c r="L5" i="115"/>
  <c r="L12" i="115"/>
  <c r="L21" i="115"/>
  <c r="B32" i="107"/>
  <c r="C16" i="102"/>
  <c r="D16" i="102"/>
  <c r="E16" i="102"/>
  <c r="F16" i="102"/>
  <c r="G16" i="102"/>
  <c r="H16" i="102"/>
  <c r="I16" i="102"/>
  <c r="J16" i="102"/>
  <c r="K16" i="102"/>
  <c r="K15" i="102"/>
  <c r="K14" i="102"/>
  <c r="K13" i="102"/>
  <c r="K12" i="102"/>
  <c r="K11" i="102"/>
  <c r="K10" i="102"/>
  <c r="K9" i="102"/>
  <c r="K8" i="102"/>
  <c r="K7" i="102"/>
  <c r="K6" i="102"/>
  <c r="K5" i="102"/>
  <c r="K4" i="102"/>
  <c r="B28" i="107"/>
  <c r="B27" i="107"/>
  <c r="B26" i="107"/>
  <c r="B25" i="107"/>
  <c r="B24" i="107"/>
  <c r="B23" i="107"/>
  <c r="B22" i="107"/>
  <c r="B21" i="107"/>
  <c r="B20" i="107"/>
  <c r="B19" i="107"/>
  <c r="B30" i="107"/>
  <c r="B18" i="107"/>
  <c r="B17" i="107"/>
  <c r="B16" i="107"/>
  <c r="B15" i="107"/>
  <c r="B14" i="107"/>
  <c r="B13" i="107"/>
  <c r="B12" i="107"/>
  <c r="B11" i="107"/>
  <c r="B10" i="107"/>
  <c r="B9" i="107"/>
  <c r="B8" i="107"/>
  <c r="B7" i="107"/>
  <c r="B5" i="107"/>
  <c r="B4" i="107"/>
  <c r="E74" i="61"/>
  <c r="E73" i="61"/>
  <c r="E70" i="61"/>
  <c r="E69" i="61"/>
  <c r="E66" i="61"/>
  <c r="E65" i="61"/>
  <c r="D65" i="61"/>
  <c r="D74" i="61"/>
  <c r="D66" i="61"/>
  <c r="D78" i="61"/>
  <c r="D73" i="61"/>
  <c r="D77" i="61"/>
  <c r="D70" i="61"/>
  <c r="D69" i="61"/>
  <c r="E77" i="61"/>
  <c r="E78" i="61"/>
  <c r="H4" i="82"/>
  <c r="F4" i="82"/>
  <c r="H9" i="82"/>
  <c r="H8" i="82"/>
  <c r="H7" i="82"/>
  <c r="H6" i="82"/>
  <c r="H5" i="82"/>
  <c r="F9" i="82"/>
  <c r="F8" i="82"/>
  <c r="F7" i="82"/>
  <c r="F6" i="82"/>
  <c r="F5" i="82"/>
  <c r="B5" i="114"/>
  <c r="B6" i="114"/>
  <c r="B7" i="114"/>
  <c r="B8" i="114"/>
  <c r="B9" i="114"/>
  <c r="B10" i="114"/>
  <c r="B11" i="114"/>
  <c r="B12" i="114"/>
  <c r="B13" i="114"/>
  <c r="B14" i="114"/>
  <c r="B15" i="114"/>
  <c r="B16" i="114"/>
  <c r="I12" i="114"/>
  <c r="H12" i="114"/>
  <c r="E21" i="72"/>
  <c r="I9" i="114"/>
  <c r="H9" i="114"/>
  <c r="G16" i="114"/>
  <c r="F16" i="114"/>
  <c r="I14" i="114"/>
  <c r="H14" i="114"/>
  <c r="I15" i="114"/>
  <c r="H15" i="114"/>
  <c r="I11" i="114"/>
  <c r="H11" i="114"/>
  <c r="B5" i="72"/>
  <c r="B6" i="72"/>
  <c r="B7" i="72"/>
  <c r="B9" i="72"/>
  <c r="B10" i="72"/>
  <c r="B11" i="72"/>
  <c r="B12" i="72"/>
  <c r="B13" i="72"/>
  <c r="B14" i="72"/>
  <c r="B15" i="72"/>
  <c r="B16" i="72"/>
  <c r="B17" i="72"/>
  <c r="B18" i="72"/>
  <c r="B19" i="72"/>
  <c r="B20" i="72"/>
  <c r="B21" i="72"/>
  <c r="B22" i="72"/>
  <c r="B23" i="72"/>
  <c r="M21" i="72"/>
  <c r="L21" i="72"/>
  <c r="J21" i="72"/>
  <c r="H21" i="72"/>
  <c r="F21" i="72"/>
  <c r="M16" i="72"/>
  <c r="L16" i="72"/>
  <c r="K16" i="72"/>
  <c r="J16" i="72"/>
  <c r="I16" i="72"/>
  <c r="H16" i="72"/>
  <c r="G16" i="72"/>
  <c r="F16" i="72"/>
  <c r="E16" i="72"/>
  <c r="M7" i="72"/>
  <c r="M23" i="72"/>
  <c r="L7" i="72"/>
  <c r="L23" i="72"/>
  <c r="K7" i="72"/>
  <c r="K23" i="72"/>
  <c r="J7" i="72"/>
  <c r="J23" i="72"/>
  <c r="I7" i="72"/>
  <c r="I23" i="72"/>
  <c r="H7" i="72"/>
  <c r="H23" i="72"/>
  <c r="G7" i="72"/>
  <c r="G23" i="72"/>
  <c r="F7" i="72"/>
  <c r="F23" i="72"/>
  <c r="E7" i="72"/>
  <c r="E23" i="72"/>
  <c r="I13" i="114"/>
  <c r="D4" i="114"/>
  <c r="D7" i="114"/>
  <c r="D6" i="114"/>
  <c r="D5" i="114"/>
  <c r="D8" i="114"/>
  <c r="D16" i="114"/>
  <c r="K4" i="114"/>
  <c r="K8" i="114"/>
  <c r="K5" i="114"/>
  <c r="K6" i="114"/>
  <c r="K7" i="114"/>
  <c r="K26" i="83"/>
  <c r="K22" i="83"/>
  <c r="K21" i="83"/>
  <c r="K18" i="83"/>
  <c r="K17" i="83"/>
  <c r="K14" i="83"/>
  <c r="K13" i="83"/>
  <c r="K10" i="83"/>
  <c r="K9" i="83"/>
  <c r="K6" i="83"/>
  <c r="K5" i="83"/>
  <c r="G26" i="83"/>
  <c r="G22" i="83"/>
  <c r="G21" i="83"/>
  <c r="G18" i="83"/>
  <c r="G17" i="83"/>
  <c r="G14" i="83"/>
  <c r="G13" i="83"/>
  <c r="G10" i="83"/>
  <c r="G9" i="83"/>
  <c r="G6" i="83"/>
  <c r="G5" i="83"/>
  <c r="B9" i="112"/>
  <c r="B10" i="112"/>
  <c r="B11" i="112"/>
  <c r="B12" i="112"/>
  <c r="B13" i="112"/>
  <c r="B14" i="112"/>
  <c r="B15" i="112"/>
  <c r="B16" i="112"/>
  <c r="B17" i="112"/>
  <c r="B18" i="112"/>
  <c r="B19" i="112"/>
  <c r="B20" i="112"/>
  <c r="B21" i="112"/>
  <c r="B22" i="112"/>
  <c r="B23" i="112"/>
  <c r="B24" i="112"/>
  <c r="B25" i="112"/>
  <c r="B26" i="112"/>
  <c r="B27" i="112"/>
  <c r="B28" i="112"/>
  <c r="B29" i="112"/>
  <c r="B30" i="112"/>
  <c r="B31" i="112"/>
  <c r="B32" i="112"/>
  <c r="B33" i="112"/>
  <c r="B34" i="112"/>
  <c r="B35" i="112"/>
  <c r="B36" i="112"/>
  <c r="B37" i="112"/>
  <c r="B38" i="112"/>
  <c r="D21" i="112"/>
  <c r="D19" i="112"/>
  <c r="D8" i="112"/>
  <c r="B5" i="100"/>
  <c r="B6" i="100"/>
  <c r="B7" i="100"/>
  <c r="B8" i="100"/>
  <c r="B9" i="100"/>
  <c r="B10" i="100"/>
  <c r="B11" i="100"/>
  <c r="B12" i="100"/>
  <c r="B13" i="100"/>
  <c r="B14" i="100"/>
  <c r="B15" i="100"/>
  <c r="B16" i="100"/>
  <c r="B17" i="100"/>
  <c r="B18" i="100"/>
  <c r="B19" i="100"/>
  <c r="B20" i="100"/>
  <c r="B21" i="100"/>
  <c r="B22" i="100"/>
  <c r="B23" i="100"/>
  <c r="B24" i="100"/>
  <c r="B25" i="100"/>
  <c r="B26" i="100"/>
  <c r="B27" i="100"/>
  <c r="D21" i="96"/>
  <c r="D23" i="96"/>
  <c r="D6" i="96"/>
  <c r="J17" i="96"/>
  <c r="J18" i="96"/>
  <c r="D19" i="96"/>
  <c r="F19" i="96"/>
  <c r="F6" i="96"/>
  <c r="H19" i="96"/>
  <c r="H6" i="96"/>
  <c r="J19" i="96"/>
  <c r="J6" i="96"/>
  <c r="K16" i="114"/>
  <c r="J8" i="112"/>
  <c r="H8" i="112"/>
  <c r="F8" i="112"/>
  <c r="B5" i="110"/>
  <c r="B6" i="110"/>
  <c r="B7" i="110"/>
  <c r="B8" i="110"/>
  <c r="B9" i="110"/>
  <c r="B10" i="110"/>
  <c r="B11" i="110"/>
  <c r="B12" i="110"/>
  <c r="B13" i="110"/>
  <c r="B14" i="110"/>
  <c r="B15" i="110"/>
  <c r="B16" i="110"/>
  <c r="B17" i="110"/>
  <c r="B18" i="110"/>
  <c r="B19" i="110"/>
  <c r="B20" i="110"/>
  <c r="B21" i="110"/>
  <c r="B22" i="110"/>
  <c r="B23" i="110"/>
  <c r="B24" i="110"/>
  <c r="B25" i="110"/>
  <c r="B26" i="110"/>
  <c r="B27" i="110"/>
  <c r="B28" i="110"/>
  <c r="B29" i="110"/>
  <c r="B30" i="110"/>
  <c r="B31" i="110"/>
  <c r="B32" i="110"/>
  <c r="B33" i="110"/>
  <c r="B34" i="110"/>
  <c r="B35" i="110"/>
  <c r="B36" i="110"/>
  <c r="B37" i="110"/>
  <c r="B38" i="110"/>
  <c r="B39" i="110"/>
  <c r="B40" i="110"/>
  <c r="B41" i="110"/>
  <c r="B42" i="110"/>
  <c r="B43" i="110"/>
  <c r="B44" i="110"/>
  <c r="B45" i="110"/>
  <c r="B46" i="110"/>
  <c r="B47" i="110"/>
  <c r="B48" i="110"/>
  <c r="B49" i="110"/>
  <c r="B50" i="110"/>
  <c r="B51" i="110"/>
  <c r="B52" i="110"/>
  <c r="B53" i="110"/>
  <c r="B54" i="110"/>
  <c r="B55" i="110"/>
  <c r="B56" i="110"/>
  <c r="B57" i="110"/>
  <c r="B58" i="110"/>
  <c r="B59" i="110"/>
  <c r="B60" i="110"/>
  <c r="B61" i="110"/>
  <c r="B62" i="110"/>
  <c r="B63" i="110"/>
  <c r="B64" i="110"/>
  <c r="B65" i="110"/>
  <c r="B66" i="110"/>
  <c r="B67" i="110"/>
  <c r="B68" i="110"/>
  <c r="B69" i="110"/>
  <c r="B70" i="110"/>
  <c r="B71" i="110"/>
  <c r="B76" i="110"/>
  <c r="B77" i="110"/>
  <c r="B78" i="110"/>
  <c r="B72" i="110"/>
  <c r="B73" i="110"/>
  <c r="B74" i="110"/>
  <c r="B75" i="110"/>
  <c r="I5" i="58"/>
  <c r="I6" i="58"/>
  <c r="I8" i="58"/>
  <c r="I11" i="58"/>
  <c r="I12" i="58"/>
  <c r="I13" i="58"/>
  <c r="I14" i="58"/>
  <c r="I15" i="58"/>
  <c r="I17" i="58"/>
  <c r="I18" i="58"/>
  <c r="I19" i="58"/>
  <c r="I21" i="58"/>
  <c r="I24" i="58"/>
  <c r="I27" i="58"/>
  <c r="I28" i="58"/>
  <c r="I32" i="58"/>
  <c r="I35" i="58"/>
  <c r="I38" i="58"/>
  <c r="I39" i="58"/>
  <c r="I40" i="58"/>
  <c r="I41" i="58"/>
  <c r="I42" i="58"/>
  <c r="I43" i="58"/>
  <c r="I44" i="58"/>
  <c r="I46" i="58"/>
  <c r="I49" i="58"/>
  <c r="I50" i="58"/>
  <c r="I51" i="58"/>
  <c r="I52" i="58"/>
  <c r="I53" i="58"/>
  <c r="I54" i="58"/>
  <c r="I55" i="58"/>
  <c r="I56" i="58"/>
  <c r="I57" i="58"/>
  <c r="I58" i="58"/>
  <c r="I60" i="58"/>
  <c r="I62" i="58"/>
  <c r="G4" i="109"/>
  <c r="G6" i="109"/>
  <c r="H6" i="109"/>
  <c r="G7" i="109"/>
  <c r="H7" i="109"/>
  <c r="H10" i="109"/>
  <c r="H11" i="109"/>
  <c r="G12" i="109"/>
  <c r="H12" i="109"/>
  <c r="H16" i="109"/>
  <c r="H17" i="109"/>
  <c r="H19" i="109"/>
  <c r="H23" i="109"/>
  <c r="G25" i="109"/>
  <c r="H25" i="109"/>
  <c r="H26" i="109"/>
  <c r="H28" i="109"/>
  <c r="H29" i="109"/>
  <c r="G30" i="109"/>
  <c r="H30" i="109"/>
  <c r="H11" i="91"/>
  <c r="B5" i="109"/>
  <c r="B6" i="109"/>
  <c r="B7" i="109"/>
  <c r="B8" i="109"/>
  <c r="B9" i="109"/>
  <c r="B10" i="109"/>
  <c r="B11" i="109"/>
  <c r="B12" i="109"/>
  <c r="B13" i="109"/>
  <c r="B14" i="109"/>
  <c r="B15" i="109"/>
  <c r="B19" i="109"/>
  <c r="B16" i="109"/>
  <c r="B17" i="109"/>
  <c r="B18" i="109"/>
  <c r="B20" i="109"/>
  <c r="B21" i="109"/>
  <c r="B22" i="109"/>
  <c r="B23" i="109"/>
  <c r="B24" i="109"/>
  <c r="B25" i="109"/>
  <c r="B26" i="109"/>
  <c r="B27" i="109"/>
  <c r="B28" i="109"/>
  <c r="H4" i="109"/>
  <c r="J23" i="108"/>
  <c r="J22" i="108"/>
  <c r="J22" i="88"/>
  <c r="H20" i="88"/>
  <c r="J26" i="88"/>
  <c r="E19" i="108"/>
  <c r="I13" i="108"/>
  <c r="I8" i="108"/>
  <c r="B5" i="108"/>
  <c r="B6" i="108"/>
  <c r="B7" i="108"/>
  <c r="B8" i="108"/>
  <c r="B9" i="108"/>
  <c r="B10" i="108"/>
  <c r="B11" i="108"/>
  <c r="B12" i="108"/>
  <c r="B13" i="108"/>
  <c r="B14" i="108"/>
  <c r="B15" i="108"/>
  <c r="B16" i="108"/>
  <c r="B17" i="108"/>
  <c r="B18" i="108"/>
  <c r="B19" i="108"/>
  <c r="B20" i="108"/>
  <c r="B21" i="108"/>
  <c r="B22" i="108"/>
  <c r="B23" i="108"/>
  <c r="B24" i="108"/>
  <c r="I15" i="108"/>
  <c r="I22" i="108"/>
  <c r="I23" i="108"/>
  <c r="K23" i="108"/>
  <c r="I24" i="108"/>
  <c r="K22" i="108"/>
  <c r="K24" i="108"/>
  <c r="E52" i="106"/>
  <c r="E46" i="4"/>
  <c r="G17" i="106"/>
  <c r="H17" i="106"/>
  <c r="H18" i="106"/>
  <c r="G18" i="106"/>
  <c r="G10" i="106"/>
  <c r="H10" i="106"/>
  <c r="G9" i="106"/>
  <c r="H9" i="106"/>
  <c r="H11" i="106"/>
  <c r="B5" i="106"/>
  <c r="B6" i="106"/>
  <c r="F6" i="106"/>
  <c r="G6" i="106"/>
  <c r="H6" i="106"/>
  <c r="H27" i="106"/>
  <c r="B7" i="106"/>
  <c r="B8" i="106"/>
  <c r="B9" i="106"/>
  <c r="B10" i="106"/>
  <c r="B11" i="106"/>
  <c r="F11" i="106"/>
  <c r="G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41" i="106"/>
  <c r="B42" i="106"/>
  <c r="B43" i="106"/>
  <c r="B44" i="106"/>
  <c r="B45" i="106"/>
  <c r="B46" i="106"/>
  <c r="B47" i="106"/>
  <c r="B48" i="106"/>
  <c r="B49" i="106"/>
  <c r="B50" i="106"/>
  <c r="B51" i="106"/>
  <c r="B52" i="106"/>
  <c r="B53" i="106"/>
  <c r="B54" i="106"/>
  <c r="F18" i="106"/>
  <c r="F23" i="106"/>
  <c r="F27" i="106"/>
  <c r="F29" i="106"/>
  <c r="F35" i="106"/>
  <c r="F37" i="106"/>
  <c r="F52" i="106"/>
  <c r="F45" i="106"/>
  <c r="G41" i="106"/>
  <c r="E30" i="104"/>
  <c r="E8" i="93"/>
  <c r="E40" i="104"/>
  <c r="E9" i="104"/>
  <c r="H13" i="104"/>
  <c r="K13" i="104"/>
  <c r="G6" i="91"/>
  <c r="J22" i="93"/>
  <c r="E12" i="104"/>
  <c r="E10" i="104"/>
  <c r="D8" i="96"/>
  <c r="D21" i="81"/>
  <c r="D29" i="81"/>
  <c r="D42" i="81"/>
  <c r="D44" i="81"/>
  <c r="E21" i="81"/>
  <c r="E29" i="81"/>
  <c r="E42" i="81"/>
  <c r="E44" i="81"/>
  <c r="F21" i="81"/>
  <c r="F29" i="81"/>
  <c r="F42" i="81"/>
  <c r="F44" i="81"/>
  <c r="G21" i="81"/>
  <c r="G29" i="81"/>
  <c r="G42" i="81"/>
  <c r="G44" i="81"/>
  <c r="H10" i="74"/>
  <c r="H16" i="74"/>
  <c r="H18" i="74"/>
  <c r="G10" i="74"/>
  <c r="G16" i="74"/>
  <c r="G18" i="74"/>
  <c r="F10" i="74"/>
  <c r="F18" i="74"/>
  <c r="E19" i="93"/>
  <c r="F23" i="93"/>
  <c r="F22" i="93"/>
  <c r="E13" i="93"/>
  <c r="E15" i="93"/>
  <c r="E22" i="93"/>
  <c r="G22" i="93"/>
  <c r="E23" i="93"/>
  <c r="G23" i="93"/>
  <c r="G24" i="93"/>
  <c r="D8" i="105"/>
  <c r="G10" i="82"/>
  <c r="E10" i="82"/>
  <c r="D10" i="82"/>
  <c r="B5" i="78"/>
  <c r="B6" i="78"/>
  <c r="B7" i="78"/>
  <c r="B8" i="78"/>
  <c r="B9" i="78"/>
  <c r="B10" i="78"/>
  <c r="B11" i="78"/>
  <c r="B12" i="78"/>
  <c r="B13" i="78"/>
  <c r="B14" i="78"/>
  <c r="B15" i="78"/>
  <c r="B16" i="78"/>
  <c r="B17" i="78"/>
  <c r="B18" i="78"/>
  <c r="B19" i="78"/>
  <c r="B20" i="78"/>
  <c r="B21" i="78"/>
  <c r="B22" i="78"/>
  <c r="B23" i="78"/>
  <c r="B24" i="78"/>
  <c r="B25" i="78"/>
  <c r="B26" i="78"/>
  <c r="B27" i="78"/>
  <c r="J31" i="69"/>
  <c r="H31" i="69"/>
  <c r="I28" i="69"/>
  <c r="I31" i="69"/>
  <c r="D33" i="69"/>
  <c r="E16" i="69"/>
  <c r="E33" i="69"/>
  <c r="D34" i="69"/>
  <c r="H37" i="69"/>
  <c r="I37" i="69"/>
  <c r="F33" i="69"/>
  <c r="E34" i="69"/>
  <c r="B5" i="69"/>
  <c r="B6" i="69"/>
  <c r="B7" i="69"/>
  <c r="B8" i="69"/>
  <c r="B9" i="69"/>
  <c r="B10" i="69"/>
  <c r="B11" i="69"/>
  <c r="B12" i="69"/>
  <c r="B13" i="69"/>
  <c r="B14" i="69"/>
  <c r="B15" i="69"/>
  <c r="B16" i="69"/>
  <c r="B17" i="69"/>
  <c r="B18" i="69"/>
  <c r="B19" i="69"/>
  <c r="B20" i="69"/>
  <c r="B21" i="69"/>
  <c r="B22" i="69"/>
  <c r="B23" i="69"/>
  <c r="B24" i="69"/>
  <c r="B25" i="69"/>
  <c r="B26" i="69"/>
  <c r="B27" i="69"/>
  <c r="B28" i="69"/>
  <c r="B29" i="69"/>
  <c r="B30" i="69"/>
  <c r="B31" i="69"/>
  <c r="B32" i="69"/>
  <c r="B33" i="69"/>
  <c r="B34" i="69"/>
  <c r="B35" i="69"/>
  <c r="D10" i="79"/>
  <c r="E10" i="79"/>
  <c r="E14" i="79"/>
  <c r="H29" i="91"/>
  <c r="I8" i="93"/>
  <c r="I13" i="93"/>
  <c r="I15" i="93"/>
  <c r="I22" i="93"/>
  <c r="K22" i="93"/>
  <c r="I23" i="93"/>
  <c r="J23" i="93"/>
  <c r="K23" i="93"/>
  <c r="K24" i="93"/>
  <c r="J21" i="58"/>
  <c r="J32" i="58"/>
  <c r="J46" i="58"/>
  <c r="J60" i="58"/>
  <c r="J62" i="58"/>
  <c r="K21" i="58"/>
  <c r="K32" i="58"/>
  <c r="K46" i="58"/>
  <c r="K60" i="58"/>
  <c r="K62" i="58"/>
  <c r="L21" i="58"/>
  <c r="L62" i="58"/>
  <c r="M8" i="58"/>
  <c r="M21" i="58"/>
  <c r="M32" i="58"/>
  <c r="M46" i="58"/>
  <c r="M60" i="58"/>
  <c r="M62" i="58"/>
  <c r="F27" i="78"/>
  <c r="E16" i="90"/>
  <c r="H10" i="91"/>
  <c r="H16" i="91"/>
  <c r="H17" i="91"/>
  <c r="H19" i="91"/>
  <c r="H23" i="91"/>
  <c r="H26" i="91"/>
  <c r="H28" i="91"/>
  <c r="E31" i="68"/>
  <c r="F29" i="68"/>
  <c r="F18" i="73"/>
  <c r="F43" i="4"/>
  <c r="E21" i="104"/>
  <c r="K21" i="104"/>
  <c r="F34" i="4"/>
  <c r="F36" i="4"/>
  <c r="F46" i="4"/>
  <c r="G8" i="73"/>
  <c r="G16" i="73"/>
  <c r="G25" i="73"/>
  <c r="G31" i="73"/>
  <c r="G38" i="73"/>
  <c r="G61" i="73"/>
  <c r="G63" i="73"/>
  <c r="G6" i="4"/>
  <c r="G18" i="109"/>
  <c r="G18" i="91"/>
  <c r="G20" i="91"/>
  <c r="E11" i="104"/>
  <c r="E24" i="93"/>
  <c r="G20" i="88"/>
  <c r="F19" i="75"/>
  <c r="F44" i="75"/>
  <c r="F50" i="75"/>
  <c r="F55" i="75"/>
  <c r="F60" i="74"/>
  <c r="F46" i="74"/>
  <c r="F26" i="74"/>
  <c r="F62" i="74"/>
  <c r="F46" i="58"/>
  <c r="G46" i="58"/>
  <c r="F32" i="58"/>
  <c r="G32" i="58"/>
  <c r="F21" i="58"/>
  <c r="G21" i="58"/>
  <c r="F60" i="58"/>
  <c r="F62" i="58"/>
  <c r="G60" i="58"/>
  <c r="G62" i="58"/>
  <c r="D27" i="80"/>
  <c r="D25" i="80"/>
  <c r="D24" i="80"/>
  <c r="D20" i="80"/>
  <c r="D13" i="80"/>
  <c r="D46" i="81"/>
  <c r="G43" i="4"/>
  <c r="G11" i="4"/>
  <c r="G17" i="4"/>
  <c r="G22" i="4"/>
  <c r="F13" i="68"/>
  <c r="F19" i="68"/>
  <c r="F31" i="68"/>
  <c r="G4" i="4"/>
  <c r="G4" i="91"/>
  <c r="H6" i="91"/>
  <c r="G7" i="91"/>
  <c r="G12" i="91"/>
  <c r="F8" i="96"/>
  <c r="I24" i="93"/>
  <c r="B5" i="92"/>
  <c r="B6" i="92"/>
  <c r="B7" i="92"/>
  <c r="B8" i="92"/>
  <c r="B9" i="92"/>
  <c r="B10" i="92"/>
  <c r="B11" i="92"/>
  <c r="B12" i="92"/>
  <c r="B13" i="92"/>
  <c r="B14" i="92"/>
  <c r="B15" i="92"/>
  <c r="B16" i="92"/>
  <c r="B17" i="92"/>
  <c r="B18" i="92"/>
  <c r="B19" i="92"/>
  <c r="B20" i="92"/>
  <c r="B21" i="92"/>
  <c r="B22" i="92"/>
  <c r="B23" i="92"/>
  <c r="B24" i="92"/>
  <c r="B25" i="92"/>
  <c r="F4" i="92"/>
  <c r="F7" i="92"/>
  <c r="F8" i="92"/>
  <c r="F9" i="92"/>
  <c r="F21" i="92"/>
  <c r="F10" i="92"/>
  <c r="F13" i="92"/>
  <c r="F14" i="92"/>
  <c r="F16" i="92"/>
  <c r="F22" i="92"/>
  <c r="F23" i="92"/>
  <c r="E21" i="92"/>
  <c r="E22" i="92"/>
  <c r="E23" i="92"/>
  <c r="B5" i="64"/>
  <c r="B6" i="64"/>
  <c r="B7" i="64"/>
  <c r="B8" i="64"/>
  <c r="B9" i="64"/>
  <c r="B10" i="64"/>
  <c r="B11" i="64"/>
  <c r="B12" i="64"/>
  <c r="B13" i="64"/>
  <c r="B14" i="64"/>
  <c r="B15" i="64"/>
  <c r="B16" i="64"/>
  <c r="B17" i="64"/>
  <c r="B18" i="64"/>
  <c r="B19" i="64"/>
  <c r="B20" i="64"/>
  <c r="B21" i="64"/>
  <c r="B22" i="64"/>
  <c r="B23" i="64"/>
  <c r="B24" i="64"/>
  <c r="B25" i="64"/>
  <c r="B26" i="64"/>
  <c r="B27" i="64"/>
  <c r="B28" i="64"/>
  <c r="B29" i="64"/>
  <c r="B30" i="64"/>
  <c r="B31" i="64"/>
  <c r="B32" i="64"/>
  <c r="B33" i="64"/>
  <c r="B34" i="64"/>
  <c r="B35" i="64"/>
  <c r="B36" i="64"/>
  <c r="B37" i="64"/>
  <c r="B38" i="64"/>
  <c r="B39" i="64"/>
  <c r="B40" i="64"/>
  <c r="B41" i="64"/>
  <c r="B42" i="64"/>
  <c r="B43" i="64"/>
  <c r="B44" i="64"/>
  <c r="B45" i="64"/>
  <c r="B46" i="64"/>
  <c r="B47" i="64"/>
  <c r="B48" i="64"/>
  <c r="B49" i="64"/>
  <c r="B5" i="93"/>
  <c r="B6" i="93"/>
  <c r="B7" i="93"/>
  <c r="B8" i="93"/>
  <c r="B9" i="93"/>
  <c r="B10" i="93"/>
  <c r="B11" i="93"/>
  <c r="B12" i="93"/>
  <c r="B13" i="93"/>
  <c r="B14" i="93"/>
  <c r="B15" i="93"/>
  <c r="B16" i="93"/>
  <c r="B17" i="93"/>
  <c r="B18" i="93"/>
  <c r="B19" i="93"/>
  <c r="B20" i="93"/>
  <c r="B21" i="93"/>
  <c r="B22" i="93"/>
  <c r="B23" i="93"/>
  <c r="B24" i="93"/>
  <c r="F21" i="96"/>
  <c r="G26" i="75"/>
  <c r="B5" i="101"/>
  <c r="B6" i="101"/>
  <c r="B7" i="101"/>
  <c r="B8" i="101"/>
  <c r="B9" i="101"/>
  <c r="B10" i="101"/>
  <c r="B11" i="101"/>
  <c r="B12" i="101"/>
  <c r="B13" i="101"/>
  <c r="B14" i="101"/>
  <c r="B15" i="101"/>
  <c r="B16" i="101"/>
  <c r="B17" i="101"/>
  <c r="B18" i="101"/>
  <c r="B19" i="101"/>
  <c r="B20" i="101"/>
  <c r="B21" i="101"/>
  <c r="B22" i="101"/>
  <c r="B23" i="101"/>
  <c r="B24" i="101"/>
  <c r="D26" i="92"/>
  <c r="B25" i="80"/>
  <c r="B26" i="80"/>
  <c r="B27" i="80"/>
  <c r="B5" i="80"/>
  <c r="B6" i="80"/>
  <c r="B7" i="80"/>
  <c r="B8" i="80"/>
  <c r="B9" i="80"/>
  <c r="B13" i="80"/>
  <c r="B14" i="80"/>
  <c r="B15" i="80"/>
  <c r="B16" i="80"/>
  <c r="B17" i="80"/>
  <c r="B18" i="80"/>
  <c r="B5" i="75"/>
  <c r="B6" i="75"/>
  <c r="B7" i="75"/>
  <c r="B8" i="75"/>
  <c r="B9" i="75"/>
  <c r="B10" i="75"/>
  <c r="B11" i="75"/>
  <c r="B12" i="75"/>
  <c r="B13" i="75"/>
  <c r="B14" i="75"/>
  <c r="B15" i="75"/>
  <c r="B16" i="75"/>
  <c r="B17" i="75"/>
  <c r="B18" i="75"/>
  <c r="B19" i="75"/>
  <c r="B20" i="75"/>
  <c r="B21" i="75"/>
  <c r="B22" i="75"/>
  <c r="B23" i="75"/>
  <c r="B24" i="75"/>
  <c r="B25" i="75"/>
  <c r="B26" i="75"/>
  <c r="B27" i="75"/>
  <c r="B28" i="75"/>
  <c r="B29" i="75"/>
  <c r="B30" i="75"/>
  <c r="B31" i="75"/>
  <c r="B32" i="75"/>
  <c r="B33" i="75"/>
  <c r="B34" i="75"/>
  <c r="B35" i="75"/>
  <c r="B36" i="75"/>
  <c r="B37" i="75"/>
  <c r="B38" i="75"/>
  <c r="B39" i="75"/>
  <c r="B40" i="75"/>
  <c r="B41" i="75"/>
  <c r="B42" i="75"/>
  <c r="B43" i="75"/>
  <c r="B44" i="75"/>
  <c r="B45" i="75"/>
  <c r="B46" i="75"/>
  <c r="B47" i="75"/>
  <c r="B48" i="75"/>
  <c r="B49" i="75"/>
  <c r="B50" i="75"/>
  <c r="B51" i="75"/>
  <c r="B52" i="75"/>
  <c r="B53" i="75"/>
  <c r="B54" i="75"/>
  <c r="B55" i="75"/>
  <c r="B56" i="75"/>
  <c r="B57" i="75"/>
  <c r="H55" i="75"/>
  <c r="H50" i="75"/>
  <c r="H44" i="75"/>
  <c r="H26" i="75"/>
  <c r="H29" i="75"/>
  <c r="H19" i="75"/>
  <c r="H57" i="75"/>
  <c r="G55" i="75"/>
  <c r="G50" i="75"/>
  <c r="G44" i="75"/>
  <c r="G29" i="75"/>
  <c r="G19" i="75"/>
  <c r="G57" i="75"/>
  <c r="G18" i="73"/>
  <c r="G25" i="91"/>
  <c r="H8" i="73"/>
  <c r="H16" i="73"/>
  <c r="H25" i="73"/>
  <c r="H31" i="73"/>
  <c r="H38" i="73"/>
  <c r="H61" i="73"/>
  <c r="H63" i="73"/>
  <c r="B5" i="88"/>
  <c r="B6" i="88"/>
  <c r="B7" i="88"/>
  <c r="B8" i="88"/>
  <c r="B9" i="88"/>
  <c r="B10" i="88"/>
  <c r="B11" i="88"/>
  <c r="B12" i="88"/>
  <c r="B13" i="88"/>
  <c r="B14" i="88"/>
  <c r="B16" i="88"/>
  <c r="B17" i="88"/>
  <c r="B18" i="88"/>
  <c r="B22" i="88"/>
  <c r="B23" i="88"/>
  <c r="B24" i="88"/>
  <c r="B25" i="88"/>
  <c r="B26" i="88"/>
  <c r="B36" i="69"/>
  <c r="B37" i="69"/>
  <c r="H13" i="88"/>
  <c r="B5" i="91"/>
  <c r="B6" i="91" s="1"/>
  <c r="B7" i="91" s="1"/>
  <c r="B8" i="91" s="1"/>
  <c r="B9" i="91" s="1"/>
  <c r="B10" i="91" s="1"/>
  <c r="B11" i="91" s="1"/>
  <c r="B12" i="91" s="1"/>
  <c r="B13" i="91" s="1"/>
  <c r="B14" i="91" s="1"/>
  <c r="B15" i="91" s="1"/>
  <c r="B16" i="91" s="1"/>
  <c r="B17" i="91" s="1"/>
  <c r="B18" i="91" s="1"/>
  <c r="B19" i="91" s="1"/>
  <c r="B20" i="91" s="1"/>
  <c r="B21" i="91" s="1"/>
  <c r="B22" i="91" s="1"/>
  <c r="B23" i="91" s="1"/>
  <c r="B24" i="91" s="1"/>
  <c r="B25" i="91" s="1"/>
  <c r="B26" i="91" s="1"/>
  <c r="B27" i="91" s="1"/>
  <c r="B28" i="91" s="1"/>
  <c r="B29" i="91" s="1"/>
  <c r="B30" i="91" s="1"/>
  <c r="B31" i="91" s="1"/>
  <c r="B32" i="91" s="1"/>
  <c r="B5" i="90"/>
  <c r="B6" i="90"/>
  <c r="B7" i="90"/>
  <c r="B8" i="90"/>
  <c r="B9" i="90"/>
  <c r="B10" i="90"/>
  <c r="B11" i="90"/>
  <c r="B12" i="90"/>
  <c r="B13" i="90"/>
  <c r="B14" i="90"/>
  <c r="B15" i="90"/>
  <c r="B16" i="90"/>
  <c r="F11" i="90"/>
  <c r="F16" i="90"/>
  <c r="B5" i="77"/>
  <c r="B6" i="77"/>
  <c r="B7" i="77"/>
  <c r="B8" i="77"/>
  <c r="B9" i="77"/>
  <c r="B10" i="77"/>
  <c r="B11" i="77"/>
  <c r="B12" i="77"/>
  <c r="B13" i="77"/>
  <c r="B14" i="77"/>
  <c r="B15" i="77"/>
  <c r="B16" i="77"/>
  <c r="B17" i="77"/>
  <c r="B18" i="77"/>
  <c r="B19" i="77"/>
  <c r="B20" i="77"/>
  <c r="B21" i="77"/>
  <c r="B22" i="77"/>
  <c r="B23" i="77"/>
  <c r="B24" i="77"/>
  <c r="B25" i="77"/>
  <c r="B5" i="61"/>
  <c r="B6" i="61"/>
  <c r="B7" i="61"/>
  <c r="B8" i="61"/>
  <c r="B9" i="61"/>
  <c r="B10" i="61"/>
  <c r="B11" i="61"/>
  <c r="B12" i="61"/>
  <c r="B13" i="61"/>
  <c r="B14" i="61"/>
  <c r="B15" i="61"/>
  <c r="B16" i="61"/>
  <c r="B17" i="61"/>
  <c r="B18" i="61"/>
  <c r="B19" i="61"/>
  <c r="B20" i="61"/>
  <c r="B21" i="61"/>
  <c r="B22" i="61"/>
  <c r="B23" i="61"/>
  <c r="B24" i="61"/>
  <c r="B25" i="61"/>
  <c r="B26" i="61"/>
  <c r="B27" i="61"/>
  <c r="B28" i="61"/>
  <c r="B29" i="61"/>
  <c r="B30" i="61"/>
  <c r="B31" i="61"/>
  <c r="B32" i="61"/>
  <c r="B33" i="61"/>
  <c r="B34" i="61"/>
  <c r="B35" i="61"/>
  <c r="B36" i="61"/>
  <c r="B37" i="61"/>
  <c r="B38" i="61"/>
  <c r="B39" i="61"/>
  <c r="B40" i="61"/>
  <c r="B41" i="61"/>
  <c r="B42" i="61"/>
  <c r="B43" i="61"/>
  <c r="B44" i="61"/>
  <c r="B45" i="61"/>
  <c r="B46" i="61"/>
  <c r="B47" i="61"/>
  <c r="B48" i="61"/>
  <c r="B49" i="61"/>
  <c r="B50" i="61"/>
  <c r="B51" i="61"/>
  <c r="B52" i="61"/>
  <c r="B53" i="61"/>
  <c r="B54" i="61"/>
  <c r="B55" i="61"/>
  <c r="B56" i="61"/>
  <c r="B57" i="61"/>
  <c r="B58" i="61"/>
  <c r="B59" i="61"/>
  <c r="B60" i="61"/>
  <c r="B61" i="61"/>
  <c r="B62" i="61"/>
  <c r="B63" i="61"/>
  <c r="B64" i="61"/>
  <c r="B65" i="61"/>
  <c r="B66" i="61"/>
  <c r="B67" i="61"/>
  <c r="B68" i="61"/>
  <c r="B69" i="61"/>
  <c r="B70" i="61"/>
  <c r="B71" i="61"/>
  <c r="B72" i="61"/>
  <c r="B73" i="61"/>
  <c r="B74" i="61"/>
  <c r="B75" i="61"/>
  <c r="J23" i="83"/>
  <c r="F23" i="83"/>
  <c r="D23" i="83"/>
  <c r="J19" i="83"/>
  <c r="F19" i="83"/>
  <c r="D19" i="83"/>
  <c r="J15" i="83"/>
  <c r="F15" i="83"/>
  <c r="D15" i="83"/>
  <c r="J11" i="83"/>
  <c r="F11" i="83"/>
  <c r="D11" i="83"/>
  <c r="J7" i="83"/>
  <c r="F7" i="83"/>
  <c r="D7" i="83"/>
  <c r="D25" i="83"/>
  <c r="B5" i="83"/>
  <c r="B6" i="83"/>
  <c r="B7" i="83"/>
  <c r="B8" i="83"/>
  <c r="B9" i="83"/>
  <c r="B10" i="83"/>
  <c r="B11" i="83"/>
  <c r="B12" i="83"/>
  <c r="B13" i="83"/>
  <c r="B14" i="83"/>
  <c r="B15" i="83"/>
  <c r="B16" i="83"/>
  <c r="B17" i="83"/>
  <c r="B18" i="83"/>
  <c r="B19" i="83"/>
  <c r="B20" i="83"/>
  <c r="B21" i="83"/>
  <c r="B22" i="83"/>
  <c r="B23" i="83"/>
  <c r="B24" i="83"/>
  <c r="B25" i="83"/>
  <c r="B26" i="83"/>
  <c r="B27" i="83"/>
  <c r="G46" i="81"/>
  <c r="F46" i="81"/>
  <c r="E46" i="81"/>
  <c r="B5" i="81"/>
  <c r="B6" i="81"/>
  <c r="B7" i="81"/>
  <c r="B8" i="81"/>
  <c r="B9" i="81"/>
  <c r="B10" i="81"/>
  <c r="B11" i="81"/>
  <c r="B12" i="81"/>
  <c r="B13" i="81"/>
  <c r="B14" i="81"/>
  <c r="B15" i="81"/>
  <c r="B16" i="81"/>
  <c r="B17" i="81"/>
  <c r="B18" i="81"/>
  <c r="B19" i="81"/>
  <c r="B20" i="81"/>
  <c r="B21" i="81"/>
  <c r="B22" i="81"/>
  <c r="B23" i="81"/>
  <c r="B24" i="81"/>
  <c r="B25" i="81"/>
  <c r="B26" i="81"/>
  <c r="B27" i="81"/>
  <c r="B28" i="81"/>
  <c r="B29" i="81"/>
  <c r="B30" i="81"/>
  <c r="B31" i="81"/>
  <c r="B32" i="81"/>
  <c r="B33" i="81"/>
  <c r="B34" i="81"/>
  <c r="B35" i="81"/>
  <c r="B36" i="81"/>
  <c r="B37" i="81"/>
  <c r="B38" i="81"/>
  <c r="B39" i="81"/>
  <c r="B40" i="81"/>
  <c r="B41" i="81"/>
  <c r="B42" i="81"/>
  <c r="B44" i="81"/>
  <c r="B45" i="81"/>
  <c r="B46" i="81"/>
  <c r="B47" i="81"/>
  <c r="B48" i="81"/>
  <c r="B49" i="81"/>
  <c r="B50" i="81"/>
  <c r="G34" i="4"/>
  <c r="G36" i="4"/>
  <c r="G46" i="4"/>
  <c r="F20" i="80"/>
  <c r="E20" i="80"/>
  <c r="F13" i="80"/>
  <c r="E13" i="80"/>
  <c r="F10" i="79"/>
  <c r="F14" i="79"/>
  <c r="D14" i="79"/>
  <c r="B5" i="79"/>
  <c r="B6" i="79"/>
  <c r="B7" i="79"/>
  <c r="B8" i="79"/>
  <c r="B9" i="79"/>
  <c r="B10" i="79"/>
  <c r="B11" i="79"/>
  <c r="B12" i="79"/>
  <c r="B13" i="79"/>
  <c r="B14" i="79"/>
  <c r="B76" i="61"/>
  <c r="B77" i="61"/>
  <c r="B78" i="61"/>
  <c r="E27" i="78"/>
  <c r="E14" i="77"/>
  <c r="E16" i="77"/>
  <c r="E23" i="77"/>
  <c r="E25" i="77"/>
  <c r="G13" i="68"/>
  <c r="G19" i="68"/>
  <c r="H4" i="4"/>
  <c r="H6"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40" i="4"/>
  <c r="B39" i="4"/>
  <c r="B41" i="4"/>
  <c r="B42" i="4"/>
  <c r="B43" i="4"/>
  <c r="B44" i="4"/>
  <c r="B45" i="4"/>
  <c r="B46" i="4"/>
  <c r="B47" i="4"/>
  <c r="H11" i="4"/>
  <c r="H17" i="4"/>
  <c r="H22" i="4"/>
  <c r="H26" i="4"/>
  <c r="G26" i="74"/>
  <c r="G46" i="74"/>
  <c r="G60" i="74"/>
  <c r="G62" i="74"/>
  <c r="H26" i="74"/>
  <c r="H46" i="74"/>
  <c r="H60" i="74"/>
  <c r="H62" i="74"/>
  <c r="H28" i="4"/>
  <c r="H34" i="4"/>
  <c r="H36" i="4"/>
  <c r="H46" i="4"/>
  <c r="H43" i="4"/>
  <c r="H45" i="4"/>
  <c r="H47" i="4"/>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41" i="73"/>
  <c r="B42" i="73"/>
  <c r="B43" i="73"/>
  <c r="B44" i="73"/>
  <c r="B45" i="73"/>
  <c r="B46" i="73"/>
  <c r="B47" i="73"/>
  <c r="B48" i="73"/>
  <c r="B49" i="73"/>
  <c r="B50" i="73"/>
  <c r="B51" i="73"/>
  <c r="B52" i="73"/>
  <c r="B53" i="73"/>
  <c r="B54" i="73"/>
  <c r="B55" i="73"/>
  <c r="B56" i="73"/>
  <c r="B57" i="73"/>
  <c r="B58" i="73"/>
  <c r="B59" i="73"/>
  <c r="B60" i="73"/>
  <c r="B61" i="73"/>
  <c r="B62" i="73"/>
  <c r="B63" i="73"/>
  <c r="B5" i="68"/>
  <c r="B6" i="68"/>
  <c r="B7" i="68"/>
  <c r="B8" i="68"/>
  <c r="B9" i="68"/>
  <c r="B10" i="68"/>
  <c r="B11" i="68"/>
  <c r="B12" i="68"/>
  <c r="B13" i="68"/>
  <c r="B14" i="68"/>
  <c r="B15" i="68"/>
  <c r="B16" i="68"/>
  <c r="B17" i="68"/>
  <c r="B18" i="68"/>
  <c r="B19" i="68"/>
  <c r="B20" i="68"/>
  <c r="B21" i="68"/>
  <c r="B22" i="68"/>
  <c r="B23" i="68"/>
  <c r="B24" i="68"/>
  <c r="B25" i="68"/>
  <c r="B26" i="68"/>
  <c r="B27" i="68"/>
  <c r="B28" i="68"/>
  <c r="B29" i="68"/>
  <c r="B30" i="68"/>
  <c r="B31" i="68"/>
  <c r="B5" i="58"/>
  <c r="B6" i="58"/>
  <c r="B7" i="58"/>
  <c r="B8" i="58"/>
  <c r="B9" i="58"/>
  <c r="B10" i="58"/>
  <c r="B11" i="58"/>
  <c r="B12" i="58"/>
  <c r="B13" i="58"/>
  <c r="B14" i="58"/>
  <c r="B15" i="58"/>
  <c r="B16" i="58"/>
  <c r="B17" i="58"/>
  <c r="B18" i="58"/>
  <c r="B19" i="58"/>
  <c r="B20" i="58"/>
  <c r="B21" i="58"/>
  <c r="B22" i="58"/>
  <c r="B23" i="58"/>
  <c r="B24" i="58"/>
  <c r="B25" i="58"/>
  <c r="B26" i="58"/>
  <c r="B27" i="58"/>
  <c r="B28" i="58"/>
  <c r="B29" i="58"/>
  <c r="B30" i="58"/>
  <c r="B31" i="58"/>
  <c r="B32" i="58"/>
  <c r="B33" i="58"/>
  <c r="B34" i="58"/>
  <c r="B35" i="58"/>
  <c r="B36" i="58"/>
  <c r="B37" i="58"/>
  <c r="B38" i="58"/>
  <c r="B39" i="58"/>
  <c r="B40" i="58"/>
  <c r="B41" i="58"/>
  <c r="B42" i="58"/>
  <c r="B43" i="58"/>
  <c r="B44" i="58"/>
  <c r="B45" i="58"/>
  <c r="B46" i="58"/>
  <c r="B47" i="58"/>
  <c r="B48" i="58"/>
  <c r="B49" i="58"/>
  <c r="B50" i="58"/>
  <c r="B51" i="58"/>
  <c r="B52" i="58"/>
  <c r="B53" i="58"/>
  <c r="B54" i="58"/>
  <c r="B55" i="58"/>
  <c r="B56" i="58"/>
  <c r="B57" i="58"/>
  <c r="B58" i="58"/>
  <c r="B59" i="58"/>
  <c r="B60" i="58"/>
  <c r="B61" i="58"/>
  <c r="B62" i="58"/>
  <c r="B5" i="74"/>
  <c r="B6" i="74"/>
  <c r="B7" i="74"/>
  <c r="B8" i="74"/>
  <c r="B9" i="74"/>
  <c r="B10" i="74"/>
  <c r="B11" i="74"/>
  <c r="B12" i="74"/>
  <c r="B13" i="74"/>
  <c r="B14" i="74"/>
  <c r="B15" i="74"/>
  <c r="B16" i="74"/>
  <c r="B17" i="74"/>
  <c r="B18" i="74"/>
  <c r="B19" i="74"/>
  <c r="B20" i="74"/>
  <c r="B21" i="74"/>
  <c r="B22" i="74"/>
  <c r="B23" i="74"/>
  <c r="B24" i="74"/>
  <c r="B25" i="74"/>
  <c r="B26" i="74"/>
  <c r="B27" i="74"/>
  <c r="B28" i="74"/>
  <c r="B29" i="74"/>
  <c r="B30" i="74"/>
  <c r="B31" i="74"/>
  <c r="B32" i="74"/>
  <c r="B33" i="74"/>
  <c r="B34" i="74"/>
  <c r="B35" i="74"/>
  <c r="B36" i="74"/>
  <c r="B37" i="74"/>
  <c r="B38" i="74"/>
  <c r="B39" i="74"/>
  <c r="B40" i="74"/>
  <c r="B41" i="74"/>
  <c r="B42" i="74"/>
  <c r="B43" i="74"/>
  <c r="B44" i="74"/>
  <c r="B45" i="74"/>
  <c r="B46" i="74"/>
  <c r="B47" i="74"/>
  <c r="B48" i="74"/>
  <c r="B49" i="74"/>
  <c r="B50" i="74"/>
  <c r="B51" i="74"/>
  <c r="B52" i="74"/>
  <c r="B53" i="74"/>
  <c r="B54" i="74"/>
  <c r="B55" i="74"/>
  <c r="B56" i="74"/>
  <c r="B57" i="74"/>
  <c r="B58" i="74"/>
  <c r="B59" i="74"/>
  <c r="B60" i="74"/>
  <c r="B61" i="74"/>
  <c r="B62" i="74"/>
  <c r="G29" i="68"/>
  <c r="G31" i="68"/>
  <c r="C151" i="66"/>
  <c r="AA151" i="66"/>
  <c r="C150" i="66"/>
  <c r="AA150" i="66"/>
  <c r="C149" i="66"/>
  <c r="AA149" i="66"/>
  <c r="C148" i="66"/>
  <c r="AA148" i="66"/>
  <c r="C147" i="66"/>
  <c r="AA147" i="66"/>
  <c r="C146" i="66"/>
  <c r="AA146" i="66"/>
  <c r="C145" i="66"/>
  <c r="AB145" i="66"/>
  <c r="C144" i="66"/>
  <c r="F144" i="66"/>
  <c r="AA144" i="66"/>
  <c r="C143" i="66"/>
  <c r="F143" i="66"/>
  <c r="AA143" i="66"/>
  <c r="C142" i="66"/>
  <c r="AA142" i="66"/>
  <c r="M142" i="66"/>
  <c r="P142" i="66"/>
  <c r="T142" i="66"/>
  <c r="C141" i="66"/>
  <c r="AB141" i="66"/>
  <c r="AA141" i="66"/>
  <c r="C140" i="66"/>
  <c r="AA140" i="66"/>
  <c r="C139" i="66"/>
  <c r="AA139" i="66"/>
  <c r="C138" i="66"/>
  <c r="AA138" i="66"/>
  <c r="M138" i="66"/>
  <c r="P138" i="66"/>
  <c r="T138" i="66"/>
  <c r="C137" i="66"/>
  <c r="W137" i="66"/>
  <c r="S137" i="66"/>
  <c r="AB137" i="66"/>
  <c r="Y137" i="66"/>
  <c r="X137" i="66"/>
  <c r="M137" i="66"/>
  <c r="N137" i="66"/>
  <c r="Q137" i="66"/>
  <c r="U137" i="66"/>
  <c r="P137" i="66"/>
  <c r="T137" i="66"/>
  <c r="C136" i="66"/>
  <c r="W136" i="66"/>
  <c r="S136" i="66"/>
  <c r="AB136" i="66"/>
  <c r="Y136" i="66"/>
  <c r="X136" i="66"/>
  <c r="M136" i="66"/>
  <c r="N136" i="66"/>
  <c r="Q136" i="66"/>
  <c r="U136" i="66"/>
  <c r="P136" i="66"/>
  <c r="T136" i="66"/>
  <c r="C135" i="66"/>
  <c r="C134" i="66"/>
  <c r="AA134" i="66"/>
  <c r="AB134" i="66"/>
  <c r="C133" i="66"/>
  <c r="AA133" i="66"/>
  <c r="AB133" i="66"/>
  <c r="C132" i="66"/>
  <c r="AB132" i="66"/>
  <c r="AA132" i="66"/>
  <c r="C131" i="66"/>
  <c r="AB131" i="66"/>
  <c r="C130" i="66"/>
  <c r="AB130" i="66"/>
  <c r="C129" i="66"/>
  <c r="AA129" i="66"/>
  <c r="C128" i="66"/>
  <c r="AB128" i="66"/>
  <c r="C127" i="66"/>
  <c r="AA127" i="66"/>
  <c r="C126" i="66"/>
  <c r="AA126" i="66"/>
  <c r="C125" i="66"/>
  <c r="AA125" i="66"/>
  <c r="C124" i="66"/>
  <c r="AB124" i="66"/>
  <c r="C123" i="66"/>
  <c r="AA123" i="66"/>
  <c r="C122" i="66"/>
  <c r="AA122" i="66"/>
  <c r="AB122" i="66"/>
  <c r="C121" i="66"/>
  <c r="AB121" i="66"/>
  <c r="M121" i="66"/>
  <c r="P121" i="66"/>
  <c r="T121" i="66"/>
  <c r="C120" i="66"/>
  <c r="AA120" i="66"/>
  <c r="C119" i="66"/>
  <c r="AB119" i="66"/>
  <c r="C118" i="66"/>
  <c r="W118" i="66"/>
  <c r="X118" i="66"/>
  <c r="P118" i="66"/>
  <c r="T118" i="66"/>
  <c r="AA118" i="66"/>
  <c r="Y118" i="66"/>
  <c r="M118" i="66"/>
  <c r="N118" i="66"/>
  <c r="Q118" i="66"/>
  <c r="U118" i="66"/>
  <c r="S118" i="66"/>
  <c r="C117" i="66"/>
  <c r="P117" i="66"/>
  <c r="AA117" i="66"/>
  <c r="M117" i="66"/>
  <c r="T117" i="66"/>
  <c r="C116" i="66"/>
  <c r="AA116" i="66"/>
  <c r="C115" i="66"/>
  <c r="AA115" i="66"/>
  <c r="C114" i="66"/>
  <c r="AA114" i="66"/>
  <c r="C113" i="66"/>
  <c r="AA113" i="66"/>
  <c r="C112" i="66"/>
  <c r="AA112" i="66"/>
  <c r="C111" i="66"/>
  <c r="AB111" i="66"/>
  <c r="C110" i="66"/>
  <c r="W110" i="66"/>
  <c r="X110" i="66"/>
  <c r="M110" i="66"/>
  <c r="P110" i="66"/>
  <c r="T110" i="66"/>
  <c r="AA110" i="66"/>
  <c r="Y110" i="66"/>
  <c r="N110" i="66"/>
  <c r="Q110" i="66"/>
  <c r="U110" i="66"/>
  <c r="S110" i="66"/>
  <c r="C109" i="66"/>
  <c r="AA109" i="66"/>
  <c r="C108" i="66"/>
  <c r="P108" i="66"/>
  <c r="AA108" i="66"/>
  <c r="M108" i="66"/>
  <c r="T108" i="66"/>
  <c r="C107" i="66"/>
  <c r="W107" i="66"/>
  <c r="S107" i="66"/>
  <c r="X107" i="66"/>
  <c r="Y107" i="66"/>
  <c r="Q107" i="66"/>
  <c r="AA107" i="66"/>
  <c r="Z107" i="66"/>
  <c r="M107" i="66"/>
  <c r="N107" i="66"/>
  <c r="O107" i="66"/>
  <c r="R107" i="66"/>
  <c r="V107" i="66"/>
  <c r="P107" i="66"/>
  <c r="T107" i="66"/>
  <c r="C106" i="66"/>
  <c r="C105" i="66"/>
  <c r="AA105" i="66"/>
  <c r="C104" i="66"/>
  <c r="AA104" i="66"/>
  <c r="C103" i="66"/>
  <c r="AA103" i="66"/>
  <c r="M103" i="66"/>
  <c r="P103" i="66"/>
  <c r="T103" i="66"/>
  <c r="C102" i="66"/>
  <c r="AA102" i="66"/>
  <c r="M102" i="66"/>
  <c r="P102" i="66"/>
  <c r="T102" i="66"/>
  <c r="C101" i="66"/>
  <c r="C100" i="66"/>
  <c r="C99" i="66"/>
  <c r="AA99" i="66"/>
  <c r="C98" i="66"/>
  <c r="C97" i="66"/>
  <c r="AA97" i="66"/>
  <c r="C96" i="66"/>
  <c r="AA96" i="66"/>
  <c r="C95" i="66"/>
  <c r="AA95" i="66"/>
  <c r="C94" i="66"/>
  <c r="AA94" i="66"/>
  <c r="C93" i="66"/>
  <c r="AA93" i="66"/>
  <c r="C92" i="66"/>
  <c r="C91" i="66"/>
  <c r="AA91" i="66"/>
  <c r="C90" i="66"/>
  <c r="AA90" i="66"/>
  <c r="C89" i="66"/>
  <c r="AA89" i="66"/>
  <c r="C88" i="66"/>
  <c r="W88" i="66"/>
  <c r="X88" i="66"/>
  <c r="P88" i="66"/>
  <c r="T88" i="66"/>
  <c r="AB88" i="66"/>
  <c r="Z88" i="66"/>
  <c r="Y88" i="66"/>
  <c r="N88" i="66"/>
  <c r="O88" i="66"/>
  <c r="R88" i="66"/>
  <c r="V88" i="66"/>
  <c r="Q88" i="66"/>
  <c r="U88" i="66"/>
  <c r="S88" i="66"/>
  <c r="M88" i="66"/>
  <c r="C87" i="66"/>
  <c r="AB87" i="66"/>
  <c r="AA87" i="66"/>
  <c r="C86" i="66"/>
  <c r="AB86" i="66"/>
  <c r="C85" i="66"/>
  <c r="AB85" i="66"/>
  <c r="C84" i="66"/>
  <c r="AB84" i="66"/>
  <c r="C83" i="66"/>
  <c r="AB83" i="66"/>
  <c r="C82" i="66"/>
  <c r="AB82" i="66"/>
  <c r="C81" i="66"/>
  <c r="W81" i="66"/>
  <c r="X81" i="66"/>
  <c r="M81" i="66"/>
  <c r="P81" i="66"/>
  <c r="T81" i="66"/>
  <c r="Y81" i="66"/>
  <c r="Q81" i="66"/>
  <c r="AB81" i="66"/>
  <c r="N81" i="66"/>
  <c r="U81" i="66"/>
  <c r="S81" i="66"/>
  <c r="C80" i="66"/>
  <c r="P80" i="66"/>
  <c r="AA80" i="66"/>
  <c r="M80" i="66"/>
  <c r="T80" i="66"/>
  <c r="C79" i="66"/>
  <c r="AA79" i="66"/>
  <c r="M79" i="66"/>
  <c r="P79" i="66"/>
  <c r="T79" i="66"/>
  <c r="C78" i="66"/>
  <c r="AA78" i="66"/>
  <c r="C77" i="66"/>
  <c r="W77" i="66"/>
  <c r="S77" i="66"/>
  <c r="AA77" i="66"/>
  <c r="AB77" i="66"/>
  <c r="Y77" i="66"/>
  <c r="X77" i="66"/>
  <c r="M77" i="66"/>
  <c r="N77" i="66"/>
  <c r="Q77" i="66"/>
  <c r="U77" i="66"/>
  <c r="P77" i="66"/>
  <c r="T77" i="66"/>
  <c r="C76" i="66"/>
  <c r="AB76" i="66"/>
  <c r="C75" i="66"/>
  <c r="AB75" i="66"/>
  <c r="C74" i="66"/>
  <c r="AB74" i="66"/>
  <c r="C73" i="66"/>
  <c r="AA73" i="66"/>
  <c r="C72" i="66"/>
  <c r="AA72" i="66"/>
  <c r="C71" i="66"/>
  <c r="AA71" i="66"/>
  <c r="C70" i="66"/>
  <c r="AA70" i="66"/>
  <c r="C69" i="66"/>
  <c r="AA69" i="66"/>
  <c r="C68" i="66"/>
  <c r="AB68" i="66"/>
  <c r="M68" i="66"/>
  <c r="P68" i="66"/>
  <c r="T68" i="66"/>
  <c r="C67" i="66"/>
  <c r="AB67" i="66"/>
  <c r="C66" i="66"/>
  <c r="AB66" i="66"/>
  <c r="C65" i="66"/>
  <c r="AA65" i="66"/>
  <c r="C64" i="66"/>
  <c r="AA64" i="66"/>
  <c r="C63" i="66"/>
  <c r="AA63" i="66"/>
  <c r="C62" i="66"/>
  <c r="AA62" i="66"/>
  <c r="C61" i="66"/>
  <c r="AA61" i="66"/>
  <c r="C60" i="66"/>
  <c r="AB60" i="66"/>
  <c r="AA60" i="66"/>
  <c r="C59" i="66"/>
  <c r="D59" i="66"/>
  <c r="W59" i="66"/>
  <c r="S59" i="66"/>
  <c r="AB59" i="66"/>
  <c r="Y59" i="66"/>
  <c r="X59" i="66"/>
  <c r="M59" i="66"/>
  <c r="N59" i="66"/>
  <c r="Q59" i="66"/>
  <c r="U59" i="66"/>
  <c r="P59" i="66"/>
  <c r="T59" i="66"/>
  <c r="C58" i="66"/>
  <c r="D58" i="66"/>
  <c r="W58" i="66"/>
  <c r="S58" i="66"/>
  <c r="AB58" i="66"/>
  <c r="Y58" i="66"/>
  <c r="X58" i="66"/>
  <c r="M58" i="66"/>
  <c r="N58" i="66"/>
  <c r="Q58" i="66"/>
  <c r="U58" i="66"/>
  <c r="P58" i="66"/>
  <c r="T58" i="66"/>
  <c r="C57" i="66"/>
  <c r="AB57" i="66"/>
  <c r="C56" i="66"/>
  <c r="AA56" i="66"/>
  <c r="C55" i="66"/>
  <c r="W55" i="66"/>
  <c r="X55" i="66"/>
  <c r="M55" i="66"/>
  <c r="P55" i="66"/>
  <c r="T55" i="66"/>
  <c r="AB55" i="66"/>
  <c r="Y55" i="66"/>
  <c r="N55" i="66"/>
  <c r="Q55" i="66"/>
  <c r="U55" i="66"/>
  <c r="S55" i="66"/>
  <c r="C54" i="66"/>
  <c r="AA54" i="66"/>
  <c r="AB54" i="66"/>
  <c r="M54" i="66"/>
  <c r="P54" i="66"/>
  <c r="T54" i="66"/>
  <c r="C53" i="66"/>
  <c r="AA53" i="66"/>
  <c r="C52" i="66"/>
  <c r="M52" i="66"/>
  <c r="N52" i="66"/>
  <c r="AA52" i="66"/>
  <c r="S52" i="66"/>
  <c r="C51" i="66"/>
  <c r="C50" i="66"/>
  <c r="AA50" i="66"/>
  <c r="C49" i="66"/>
  <c r="W49" i="66"/>
  <c r="E49" i="66"/>
  <c r="S49" i="66"/>
  <c r="AA49" i="66"/>
  <c r="Y49" i="66"/>
  <c r="X49" i="66"/>
  <c r="M49" i="66"/>
  <c r="N49" i="66"/>
  <c r="Q49" i="66"/>
  <c r="U49" i="66"/>
  <c r="P49" i="66"/>
  <c r="T49" i="66"/>
  <c r="C48" i="66"/>
  <c r="W48" i="66"/>
  <c r="E48" i="66"/>
  <c r="S48" i="66"/>
  <c r="AA48" i="66"/>
  <c r="Y48" i="66"/>
  <c r="X48" i="66"/>
  <c r="M48" i="66"/>
  <c r="N48" i="66"/>
  <c r="Q48" i="66"/>
  <c r="U48" i="66"/>
  <c r="P48" i="66"/>
  <c r="T48" i="66"/>
  <c r="C47" i="66"/>
  <c r="W47" i="66"/>
  <c r="X47" i="66"/>
  <c r="M47" i="66"/>
  <c r="P47" i="66"/>
  <c r="T47" i="66"/>
  <c r="Y47" i="66"/>
  <c r="Q47" i="66"/>
  <c r="N47" i="66"/>
  <c r="U47" i="66"/>
  <c r="AA47" i="66"/>
  <c r="AB47" i="66"/>
  <c r="Z47" i="66"/>
  <c r="O47" i="66"/>
  <c r="R47" i="66"/>
  <c r="V47" i="66"/>
  <c r="S47" i="66"/>
  <c r="C46" i="66"/>
  <c r="W46" i="66"/>
  <c r="X46" i="66"/>
  <c r="M46" i="66"/>
  <c r="P46" i="66"/>
  <c r="T46" i="66"/>
  <c r="Y46" i="66"/>
  <c r="Q46" i="66"/>
  <c r="N46" i="66"/>
  <c r="U46" i="66"/>
  <c r="AA46" i="66"/>
  <c r="AB46" i="66"/>
  <c r="Z46" i="66"/>
  <c r="O46" i="66"/>
  <c r="R46" i="66"/>
  <c r="V46" i="66"/>
  <c r="S46" i="66"/>
  <c r="C45" i="66"/>
  <c r="W45" i="66"/>
  <c r="S45" i="66"/>
  <c r="AA45" i="66"/>
  <c r="Y45" i="66"/>
  <c r="X45" i="66"/>
  <c r="M45" i="66"/>
  <c r="N45" i="66"/>
  <c r="Q45" i="66"/>
  <c r="U45" i="66"/>
  <c r="P45" i="66"/>
  <c r="T45" i="66"/>
  <c r="C44" i="66"/>
  <c r="W44" i="66"/>
  <c r="S44" i="66"/>
  <c r="AA44" i="66"/>
  <c r="Y44" i="66"/>
  <c r="X44" i="66"/>
  <c r="M44" i="66"/>
  <c r="N44" i="66"/>
  <c r="Q44" i="66"/>
  <c r="U44" i="66"/>
  <c r="P44" i="66"/>
  <c r="T44" i="66"/>
  <c r="C43" i="66"/>
  <c r="J43" i="66"/>
  <c r="F43" i="66"/>
  <c r="AA43" i="66"/>
  <c r="M43" i="66"/>
  <c r="G43" i="66"/>
  <c r="P43" i="66"/>
  <c r="T43" i="66"/>
  <c r="C42" i="66"/>
  <c r="AB42" i="66"/>
  <c r="C41" i="66"/>
  <c r="AB41" i="66"/>
  <c r="C40" i="66"/>
  <c r="AA40" i="66"/>
  <c r="AB40" i="66"/>
  <c r="C39" i="66"/>
  <c r="AA39" i="66"/>
  <c r="AB39" i="66"/>
  <c r="C38" i="66"/>
  <c r="AA38" i="66"/>
  <c r="AB38" i="66"/>
  <c r="C37" i="66"/>
  <c r="AA37" i="66"/>
  <c r="C36" i="66"/>
  <c r="P36" i="66"/>
  <c r="AA36" i="66"/>
  <c r="M36" i="66"/>
  <c r="T36" i="66"/>
  <c r="C35" i="66"/>
  <c r="P35" i="66"/>
  <c r="AA35" i="66"/>
  <c r="M35" i="66"/>
  <c r="T35" i="66"/>
  <c r="C34" i="66"/>
  <c r="P34" i="66"/>
  <c r="AA34" i="66"/>
  <c r="M34" i="66"/>
  <c r="T34" i="66"/>
  <c r="C33" i="66"/>
  <c r="P33" i="66"/>
  <c r="AA33" i="66"/>
  <c r="M33" i="66"/>
  <c r="T33" i="66"/>
  <c r="C32" i="66"/>
  <c r="AA32" i="66"/>
  <c r="C31" i="66"/>
  <c r="P31" i="66"/>
  <c r="AA31" i="66"/>
  <c r="M31" i="66"/>
  <c r="T31" i="66"/>
  <c r="C30" i="66"/>
  <c r="P30" i="66"/>
  <c r="AA30" i="66"/>
  <c r="M30" i="66"/>
  <c r="T30" i="66"/>
  <c r="C29" i="66"/>
  <c r="E29" i="66"/>
  <c r="F29" i="66"/>
  <c r="G29" i="66"/>
  <c r="J29" i="66"/>
  <c r="M29" i="66"/>
  <c r="AA29" i="66"/>
  <c r="C28" i="66"/>
  <c r="M28" i="66"/>
  <c r="P28" i="66"/>
  <c r="T28" i="66"/>
  <c r="AA28" i="66"/>
  <c r="C27" i="66"/>
  <c r="M27" i="66"/>
  <c r="P27" i="66"/>
  <c r="T27" i="66"/>
  <c r="AA27" i="66"/>
  <c r="C26" i="66"/>
  <c r="P26" i="66"/>
  <c r="AA26" i="66"/>
  <c r="M26" i="66"/>
  <c r="T26" i="66"/>
  <c r="C25" i="66"/>
  <c r="AA25" i="66"/>
  <c r="C24" i="66"/>
  <c r="AA24" i="66"/>
  <c r="C23" i="66"/>
  <c r="AA23" i="66"/>
  <c r="C22" i="66"/>
  <c r="AA22" i="66"/>
  <c r="C21" i="66"/>
  <c r="P21" i="66"/>
  <c r="M21" i="66"/>
  <c r="T21" i="66"/>
  <c r="AA21" i="66"/>
  <c r="C20" i="66"/>
  <c r="P20" i="66"/>
  <c r="M20" i="66"/>
  <c r="T20" i="66"/>
  <c r="AA20" i="66"/>
  <c r="C19" i="66"/>
  <c r="P19" i="66"/>
  <c r="M19" i="66"/>
  <c r="T19" i="66"/>
  <c r="AA19" i="66"/>
  <c r="C18" i="66"/>
  <c r="M18" i="66"/>
  <c r="P18" i="66"/>
  <c r="T18" i="66"/>
  <c r="AA18" i="66"/>
  <c r="C17" i="66"/>
  <c r="M17" i="66"/>
  <c r="P17" i="66"/>
  <c r="T17" i="66"/>
  <c r="AA17" i="66"/>
  <c r="C16" i="66"/>
  <c r="M16" i="66"/>
  <c r="P16" i="66"/>
  <c r="T16" i="66"/>
  <c r="AA16" i="66"/>
  <c r="C15" i="66"/>
  <c r="AA15" i="66"/>
  <c r="AG14" i="66"/>
  <c r="C7" i="66"/>
  <c r="C8" i="66"/>
  <c r="C9" i="66"/>
  <c r="C10" i="66"/>
  <c r="C11" i="66"/>
  <c r="C12" i="66"/>
  <c r="C13" i="66"/>
  <c r="C14" i="66"/>
  <c r="AF14" i="66" a="1"/>
  <c r="AF14" i="66"/>
  <c r="AE14" i="66" a="1"/>
  <c r="AE14" i="66"/>
  <c r="AA14" i="66"/>
  <c r="AA13" i="66"/>
  <c r="AA12" i="66"/>
  <c r="M12" i="66"/>
  <c r="P12" i="66"/>
  <c r="T12" i="66"/>
  <c r="AA11" i="66"/>
  <c r="M11" i="66"/>
  <c r="P11" i="66"/>
  <c r="T11" i="66"/>
  <c r="AA10" i="66"/>
  <c r="AB10" i="66"/>
  <c r="M10" i="66"/>
  <c r="P10" i="66"/>
  <c r="T10" i="66"/>
  <c r="AA9" i="66"/>
  <c r="AB9" i="66"/>
  <c r="M9" i="66"/>
  <c r="P9" i="66"/>
  <c r="T9" i="66"/>
  <c r="AB8" i="66"/>
  <c r="W7" i="66"/>
  <c r="X7" i="66"/>
  <c r="P7" i="66"/>
  <c r="T7" i="66"/>
  <c r="Y7" i="66"/>
  <c r="Z7" i="66"/>
  <c r="R7" i="66"/>
  <c r="AB7" i="66"/>
  <c r="N7" i="66"/>
  <c r="O7" i="66"/>
  <c r="Q7" i="66"/>
  <c r="U7" i="66"/>
  <c r="S7" i="66"/>
  <c r="M7" i="66"/>
  <c r="E45" i="64"/>
  <c r="D45" i="64"/>
  <c r="E16" i="64"/>
  <c r="D16" i="64"/>
  <c r="E14" i="64"/>
  <c r="D14" i="64"/>
  <c r="E11" i="64"/>
  <c r="D11" i="64"/>
  <c r="E10" i="64"/>
  <c r="D10" i="64"/>
  <c r="E9" i="64"/>
  <c r="D9" i="64"/>
  <c r="E7" i="64"/>
  <c r="D7" i="64"/>
  <c r="E6" i="64"/>
  <c r="D6" i="64"/>
  <c r="E4" i="64"/>
  <c r="D4" i="64"/>
  <c r="F17" i="92"/>
  <c r="F57" i="75"/>
  <c r="H4" i="91"/>
  <c r="H7" i="91"/>
  <c r="H12" i="91"/>
  <c r="H25" i="91"/>
  <c r="G30" i="91"/>
  <c r="H30" i="91"/>
  <c r="G32" i="91"/>
  <c r="H21" i="96"/>
  <c r="J21" i="96"/>
  <c r="J23" i="96"/>
  <c r="J8" i="96"/>
  <c r="J27" i="96"/>
  <c r="H8" i="96"/>
  <c r="D16" i="100"/>
  <c r="E16" i="100"/>
  <c r="F23" i="96"/>
  <c r="H27" i="96"/>
  <c r="F27" i="96"/>
  <c r="D20" i="100"/>
  <c r="D24" i="100" s="1"/>
  <c r="H23" i="96"/>
  <c r="J25" i="83"/>
  <c r="K7" i="83"/>
  <c r="K11" i="83"/>
  <c r="K15" i="83"/>
  <c r="K19" i="83"/>
  <c r="K23" i="83"/>
  <c r="K25" i="83"/>
  <c r="D27" i="83"/>
  <c r="G7" i="83"/>
  <c r="F25" i="83"/>
  <c r="J27" i="83"/>
  <c r="K27" i="83"/>
  <c r="G11" i="83"/>
  <c r="G15" i="83"/>
  <c r="G19" i="83"/>
  <c r="G23" i="83"/>
  <c r="V7" i="66"/>
  <c r="U107" i="66"/>
  <c r="G26" i="4"/>
  <c r="E8" i="104"/>
  <c r="K8" i="104"/>
  <c r="H8" i="104"/>
  <c r="F45" i="4"/>
  <c r="F47" i="4"/>
  <c r="E33" i="104"/>
  <c r="H21" i="104"/>
  <c r="H13" i="96"/>
  <c r="H14" i="96"/>
  <c r="D13" i="96"/>
  <c r="F32" i="96"/>
  <c r="E31" i="104"/>
  <c r="E32" i="104"/>
  <c r="E34" i="104"/>
  <c r="E7" i="104"/>
  <c r="K7" i="104"/>
  <c r="G27" i="106"/>
  <c r="G25" i="83"/>
  <c r="F27" i="83"/>
  <c r="G27" i="83"/>
  <c r="H22" i="104"/>
  <c r="G40" i="106"/>
  <c r="G42" i="106"/>
  <c r="G50" i="106"/>
  <c r="H23" i="104"/>
  <c r="G28" i="4"/>
  <c r="H18" i="91"/>
  <c r="H7" i="104"/>
  <c r="D10" i="96"/>
  <c r="H10" i="96"/>
  <c r="H28" i="96"/>
  <c r="H29" i="96"/>
  <c r="J10" i="96"/>
  <c r="J13" i="96"/>
  <c r="J14" i="96"/>
  <c r="H9" i="96"/>
  <c r="F9" i="96"/>
  <c r="F10" i="96"/>
  <c r="F13" i="96"/>
  <c r="F28" i="96"/>
  <c r="F29" i="96"/>
  <c r="J28" i="96"/>
  <c r="J29" i="96"/>
  <c r="F36" i="96"/>
  <c r="F38" i="96"/>
  <c r="E20" i="104"/>
  <c r="E39" i="104"/>
  <c r="E41" i="104"/>
  <c r="G45" i="4"/>
  <c r="G47" i="4"/>
  <c r="H25" i="104"/>
  <c r="H33" i="104"/>
  <c r="D4" i="100"/>
  <c r="D6" i="100"/>
  <c r="D12" i="100"/>
  <c r="D13" i="100"/>
  <c r="J32" i="96"/>
  <c r="H32" i="96"/>
  <c r="H31" i="104"/>
  <c r="H20" i="91"/>
  <c r="D12" i="96"/>
  <c r="H32" i="91"/>
  <c r="F31" i="96"/>
  <c r="F33" i="96" s="1"/>
  <c r="F12" i="96"/>
  <c r="F14" i="96"/>
  <c r="H33" i="96"/>
  <c r="H37" i="96"/>
  <c r="H38" i="96"/>
  <c r="J33" i="96"/>
  <c r="J36" i="96"/>
  <c r="J37" i="96"/>
  <c r="J38" i="96"/>
  <c r="E14" i="104"/>
  <c r="F13" i="104"/>
  <c r="F5" i="104"/>
  <c r="F12" i="104"/>
  <c r="F11" i="104"/>
  <c r="F10" i="104"/>
  <c r="F9" i="104"/>
  <c r="F14" i="104"/>
  <c r="F8" i="104"/>
  <c r="F7" i="104"/>
  <c r="D16" i="115"/>
  <c r="D17" i="115"/>
  <c r="D18" i="115"/>
  <c r="E15" i="115"/>
  <c r="F15" i="115"/>
  <c r="G19" i="115"/>
  <c r="E16" i="115"/>
  <c r="F16" i="115"/>
  <c r="E17" i="115"/>
  <c r="F17" i="115"/>
  <c r="E18" i="115"/>
  <c r="F18" i="115"/>
  <c r="D15" i="115"/>
  <c r="L15" i="115"/>
  <c r="H19" i="115"/>
  <c r="E11" i="105"/>
  <c r="F11" i="105"/>
  <c r="L19" i="115"/>
  <c r="L18" i="115"/>
  <c r="L17" i="115"/>
  <c r="L16" i="115"/>
  <c r="F12" i="112"/>
  <c r="D12" i="112"/>
  <c r="H9" i="112"/>
  <c r="F9" i="112"/>
  <c r="D10" i="112"/>
  <c r="H18" i="109"/>
  <c r="G20" i="109"/>
  <c r="H20" i="109"/>
  <c r="G32" i="109"/>
  <c r="H32" i="109"/>
  <c r="K8" i="105"/>
  <c r="E8" i="105"/>
  <c r="F8" i="105"/>
  <c r="H8" i="105"/>
  <c r="G8" i="105"/>
  <c r="I8" i="105"/>
  <c r="D16" i="123"/>
  <c r="K16" i="123"/>
  <c r="K15" i="123"/>
  <c r="J8" i="105"/>
  <c r="J11" i="105"/>
  <c r="J12" i="105"/>
  <c r="I12" i="105"/>
  <c r="D12" i="105"/>
  <c r="F12" i="105"/>
  <c r="E12" i="105"/>
  <c r="J7" i="105"/>
  <c r="K7" i="105"/>
  <c r="H7" i="105"/>
  <c r="E7" i="105"/>
  <c r="F7" i="105"/>
  <c r="I7" i="105"/>
  <c r="G7" i="105"/>
  <c r="D7" i="105"/>
  <c r="K12" i="105"/>
  <c r="E11" i="95"/>
  <c r="G13" i="95"/>
  <c r="G11" i="95"/>
  <c r="G4" i="95"/>
  <c r="G5" i="95"/>
  <c r="G6" i="95"/>
  <c r="G7" i="95"/>
  <c r="G8" i="95"/>
  <c r="G9" i="95"/>
  <c r="F48" i="106"/>
  <c r="F51" i="106"/>
  <c r="F53" i="106"/>
  <c r="H5" i="104"/>
  <c r="H27" i="104"/>
  <c r="K26" i="104"/>
  <c r="K22" i="104"/>
  <c r="H40" i="106"/>
  <c r="K23" i="104"/>
  <c r="K31" i="104"/>
  <c r="K33" i="104"/>
  <c r="K27" i="104"/>
  <c r="H14" i="104"/>
  <c r="I5" i="104"/>
  <c r="K5" i="104"/>
  <c r="K14" i="104"/>
  <c r="H4" i="106"/>
  <c r="H29" i="106"/>
  <c r="H48" i="106"/>
  <c r="L14" i="104"/>
  <c r="L5" i="104"/>
  <c r="L13" i="104"/>
  <c r="I7" i="104"/>
  <c r="G4" i="106"/>
  <c r="G29" i="106"/>
  <c r="H16" i="104"/>
  <c r="H30" i="104"/>
  <c r="H32" i="104"/>
  <c r="H35" i="104"/>
  <c r="H36" i="104"/>
  <c r="G55" i="106"/>
  <c r="I14" i="104"/>
  <c r="I13" i="104"/>
  <c r="I8" i="104"/>
  <c r="L7" i="104"/>
  <c r="L8" i="104"/>
  <c r="K30" i="104"/>
  <c r="K32" i="104"/>
  <c r="E22" i="100"/>
  <c r="K35" i="104"/>
  <c r="K16" i="104"/>
  <c r="G48" i="106"/>
  <c r="H20" i="104"/>
  <c r="D22" i="100"/>
  <c r="D25" i="100"/>
  <c r="D26" i="100"/>
  <c r="K20" i="104"/>
  <c r="H55" i="106"/>
  <c r="K36" i="104"/>
  <c r="E8" i="100"/>
  <c r="E10" i="100"/>
  <c r="E12" i="100"/>
  <c r="E14" i="100"/>
  <c r="H41" i="106"/>
  <c r="H42" i="106"/>
  <c r="H50" i="106"/>
  <c r="E20" i="100"/>
  <c r="E25" i="100"/>
  <c r="E27" i="100"/>
  <c r="E23" i="100"/>
  <c r="E24" i="100"/>
  <c r="I5" i="114"/>
  <c r="I6" i="114"/>
  <c r="I4" i="114"/>
  <c r="H16" i="114"/>
  <c r="I16" i="114"/>
  <c r="L4" i="114"/>
  <c r="L6" i="114"/>
  <c r="L5" i="114"/>
  <c r="L11" i="114"/>
  <c r="L10" i="114"/>
  <c r="L12" i="114"/>
  <c r="L9" i="114"/>
  <c r="L14" i="114"/>
  <c r="L15" i="114"/>
  <c r="L13" i="114"/>
  <c r="L16" i="114"/>
  <c r="G5" i="122"/>
  <c r="G12" i="122" s="1"/>
  <c r="G26" i="126"/>
  <c r="P26" i="126" l="1"/>
  <c r="G31" i="126"/>
  <c r="O31" i="126"/>
  <c r="K24" i="126"/>
  <c r="M24" i="126"/>
  <c r="M26" i="126" s="1"/>
  <c r="K31" i="126"/>
  <c r="M31" i="126"/>
  <c r="S24" i="126"/>
  <c r="S26" i="126" s="1"/>
  <c r="H31" i="126"/>
  <c r="B29" i="126"/>
  <c r="B30" i="126" s="1"/>
  <c r="B31" i="126" s="1"/>
  <c r="G13" i="122"/>
  <c r="L26" i="126"/>
  <c r="U19" i="126"/>
  <c r="Q24" i="126"/>
  <c r="Q26" i="126" s="1"/>
  <c r="P31" i="126"/>
  <c r="U22" i="126"/>
  <c r="J24" i="126"/>
  <c r="J31" i="126"/>
  <c r="O28" i="126"/>
  <c r="N28" i="126"/>
  <c r="K26" i="126"/>
  <c r="K28" i="126"/>
  <c r="I28" i="126"/>
  <c r="M28" i="126"/>
  <c r="R24" i="126"/>
  <c r="H24" i="126"/>
  <c r="O26" i="126"/>
  <c r="G6" i="122"/>
  <c r="G11" i="122" s="1"/>
  <c r="J26" i="126"/>
  <c r="E28" i="126"/>
  <c r="F11" i="122"/>
  <c r="F13" i="122"/>
  <c r="F12" i="122"/>
  <c r="D23" i="100"/>
  <c r="F28" i="126"/>
  <c r="F26" i="126"/>
  <c r="D14" i="96"/>
  <c r="D14" i="112"/>
  <c r="L28" i="126" l="1"/>
  <c r="U24" i="126"/>
  <c r="J28" i="126"/>
  <c r="R28" i="126"/>
  <c r="P28" i="126"/>
  <c r="S29" i="126"/>
  <c r="U29" i="126" s="1"/>
  <c r="G28" i="126"/>
  <c r="H28" i="126"/>
  <c r="H26" i="126"/>
  <c r="Q28" i="126"/>
  <c r="R26" i="126"/>
  <c r="U26" i="126" l="1"/>
  <c r="S28" i="126"/>
  <c r="U28" i="126" s="1"/>
  <c r="U31" i="126" l="1"/>
  <c r="U30" i="126"/>
</calcChain>
</file>

<file path=xl/sharedStrings.xml><?xml version="1.0" encoding="utf-8"?>
<sst xmlns="http://schemas.openxmlformats.org/spreadsheetml/2006/main" count="2264" uniqueCount="1276">
  <si>
    <t xml:space="preserve">IPU Accounting and Ratemaking Course </t>
  </si>
  <si>
    <t>1-Table of contents</t>
  </si>
  <si>
    <t>Note: schedule fomatting has been edited for teaching purposes. </t>
  </si>
  <si>
    <t>Numeric values have not been altered.</t>
  </si>
  <si>
    <t>These copyrighted instructional materials are for the exclusive use of the program attendees of the Ratemaking Course provided by the Institute of Public Utilities. Do not share or distribute. 
Institute of Public Utilities
MICHIGAN STATE UNIVERSITY
ipu.msu.edu
517.355.1876</t>
  </si>
  <si>
    <t>2-York Water annual report cover</t>
  </si>
  <si>
    <t>Note: schedule fomatting has been edited for teaching purposes. Values have not been changed.</t>
  </si>
  <si>
    <t>https://www.yorkwater.com/annual-reports</t>
  </si>
  <si>
    <t>https://www.sec.gov/cgi-bin/browse-edgar?company=york+water&amp;owner=exclude&amp;action=getcompany</t>
  </si>
  <si>
    <t>3-York Water fact sheet</t>
  </si>
  <si>
    <t>Source: https://www.yorkwater.com/wp-content/uploads/FactSheetJanuary2023.pdf</t>
  </si>
  <si>
    <t>4-Summary of operations and trend data (consolidated in thousands)</t>
  </si>
  <si>
    <t xml:space="preserve"> </t>
  </si>
  <si>
    <t>Line no.</t>
  </si>
  <si>
    <t>Year Ended December 31</t>
  </si>
  <si>
    <t>OPERATING DATA</t>
  </si>
  <si>
    <t>Revenues: residential</t>
  </si>
  <si>
    <t>Revenues: commercial and industrial</t>
  </si>
  <si>
    <t>Revenues: other</t>
  </si>
  <si>
    <t>Revenues: total</t>
  </si>
  <si>
    <t>Average daily consumption (000)</t>
  </si>
  <si>
    <t>Miles of water mains</t>
  </si>
  <si>
    <t>Water mains installed or acquired (feet)</t>
  </si>
  <si>
    <t>Number of customers</t>
  </si>
  <si>
    <t>Population served</t>
  </si>
  <si>
    <t>Number of employees</t>
  </si>
  <si>
    <t>BALANCE SHEET DATA</t>
  </si>
  <si>
    <t>Net utility plant (orig. cost net of acq. adjust.)</t>
  </si>
  <si>
    <t>Construction expenditures</t>
  </si>
  <si>
    <t xml:space="preserve">               </t>
  </si>
  <si>
    <t>Total assets</t>
  </si>
  <si>
    <t>Total capitalization</t>
  </si>
  <si>
    <t>Long-term debt including current portion</t>
  </si>
  <si>
    <t>Percentage debt</t>
  </si>
  <si>
    <t>Common stockholders' equity</t>
  </si>
  <si>
    <t>Percentage equity</t>
  </si>
  <si>
    <t>Book value per common share</t>
  </si>
  <si>
    <t>Price to earnings ratio (P/E)</t>
  </si>
  <si>
    <t>INCOME DATA</t>
  </si>
  <si>
    <t>Operating revenues</t>
  </si>
  <si>
    <t>Operating expenses</t>
  </si>
  <si>
    <t>Operating income</t>
  </si>
  <si>
    <t>Interest expense</t>
  </si>
  <si>
    <t>Income taxes</t>
  </si>
  <si>
    <t xml:space="preserve">Net income </t>
  </si>
  <si>
    <t>Net cash flow from operating activities</t>
  </si>
  <si>
    <t>ROE on year-end common equity</t>
  </si>
  <si>
    <t>Cash dividends declared per share</t>
  </si>
  <si>
    <t>* Source: York Water Company Annual Reports (various) and SEC 10-K Reports. Note that older data may be in hidden columns.</t>
  </si>
  <si>
    <t>SEC</t>
  </si>
  <si>
    <t>https://www.yorkwater.com/sec-filings/</t>
  </si>
  <si>
    <t>PUC</t>
  </si>
  <si>
    <t>https://www.puc.pa.gov/search/document-search?DocumentType=11717119</t>
  </si>
  <si>
    <t>5-Utility plant by function</t>
  </si>
  <si>
    <t>Acct.</t>
  </si>
  <si>
    <t>Item</t>
  </si>
  <si>
    <t>Additions</t>
  </si>
  <si>
    <t xml:space="preserve">Retirements </t>
  </si>
  <si>
    <t>Adjustments</t>
  </si>
  <si>
    <t>Retirements</t>
  </si>
  <si>
    <t>INTANGIBLE PLANT</t>
  </si>
  <si>
    <t>Organization</t>
  </si>
  <si>
    <t>Franchises</t>
  </si>
  <si>
    <t>Other Plant and Miscellaneous Equipment</t>
  </si>
  <si>
    <t>&gt;Total Intangible plant</t>
  </si>
  <si>
    <t>SOURCE OF SUPPLY AND PUMPING PLANT</t>
  </si>
  <si>
    <t>Land and Land Rights</t>
  </si>
  <si>
    <t>Structures and Improvements</t>
  </si>
  <si>
    <t>Collection and Impounding Reservoirs</t>
  </si>
  <si>
    <t>Lake, Rivers and Other Intakes</t>
  </si>
  <si>
    <t>Wells and Springs</t>
  </si>
  <si>
    <t>Infiltration Galleries and Tunnels</t>
  </si>
  <si>
    <t>Supply Mains</t>
  </si>
  <si>
    <t>Power Generation Equipment</t>
  </si>
  <si>
    <t>Pumping Equipment</t>
  </si>
  <si>
    <t>&gt;Total Source of Supply and Pumping Plant</t>
  </si>
  <si>
    <t>WATER TREATMENT EQUIPMENT</t>
  </si>
  <si>
    <t>Water Treatment Equipment</t>
  </si>
  <si>
    <t>Instrumentation</t>
  </si>
  <si>
    <t>Wastewater Treatment Equipment</t>
  </si>
  <si>
    <t>&gt;Total Water Treatment Equipment</t>
  </si>
  <si>
    <t>TRANSMISSION AND DISTRIBUTION PLANT</t>
  </si>
  <si>
    <t>Distribution Reservoirs and Standpipes</t>
  </si>
  <si>
    <t>Transmission and Distribution Mains</t>
  </si>
  <si>
    <t>Services</t>
  </si>
  <si>
    <t>Meters and Meter Installations</t>
  </si>
  <si>
    <t>Hydrants</t>
  </si>
  <si>
    <t>Backflow Prevention Devices</t>
  </si>
  <si>
    <t>&gt;Total Transmission and Distribution Plant</t>
  </si>
  <si>
    <t>GENERAL PLANT</t>
  </si>
  <si>
    <t>Office Furniture and Equipment</t>
  </si>
  <si>
    <t>Transportation Equipment</t>
  </si>
  <si>
    <t>Stores Equipment</t>
  </si>
  <si>
    <t>Tools, Shop and Garage Equipment</t>
  </si>
  <si>
    <t>Laboratory Furniture &amp; Equipment</t>
  </si>
  <si>
    <t>Power Operated Equipment</t>
  </si>
  <si>
    <t>Communication Equipment</t>
  </si>
  <si>
    <t>Miscellaneous Equipment</t>
  </si>
  <si>
    <t>Other Tangible Plant</t>
  </si>
  <si>
    <t>&gt;Total General Plant</t>
  </si>
  <si>
    <t>TOTAL WATER PLANT-IN-SERVICE</t>
  </si>
  <si>
    <t>Source: York Water Company PUC Annual Reports, Schedule 201.</t>
  </si>
  <si>
    <t>6-Accumulated depreciation</t>
  </si>
  <si>
    <t>BALANCE AT BEGINNING OF YEAR</t>
  </si>
  <si>
    <t>DEPRECIATION CREDIT DURING YEAR</t>
  </si>
  <si>
    <t xml:space="preserve">   </t>
  </si>
  <si>
    <t>&gt;Total Depreciation Provisions</t>
  </si>
  <si>
    <t>OTHER CREDITS DURING YEAR</t>
  </si>
  <si>
    <t>Recoveries from Insurance</t>
  </si>
  <si>
    <t>-</t>
  </si>
  <si>
    <t>Salvage Realized from Retirements</t>
  </si>
  <si>
    <t>Other Credits: ASC 410 / FAS 143</t>
  </si>
  <si>
    <t>Acquisition Accumulated Depreciation</t>
  </si>
  <si>
    <t>&gt;Total Other Credits During Year</t>
  </si>
  <si>
    <t>TOTAL CREDITS</t>
  </si>
  <si>
    <t>DEBITS DURING YEAR</t>
  </si>
  <si>
    <t>Retirement of Utility Plant</t>
  </si>
  <si>
    <t>Cost of Removal</t>
  </si>
  <si>
    <t>Other Debits (describe)</t>
  </si>
  <si>
    <t>Prior Retirement Adjustment</t>
  </si>
  <si>
    <t>&gt;Total Debits During Year</t>
  </si>
  <si>
    <t>BALANCE AT END OF YEAR</t>
  </si>
  <si>
    <t>Source: York Water Company PUC Annual Reports, Schedule 205.</t>
  </si>
  <si>
    <t>7-Utility plant service lives</t>
  </si>
  <si>
    <t>End of 2018</t>
  </si>
  <si>
    <t>End of 2017</t>
  </si>
  <si>
    <t>End of 2016</t>
  </si>
  <si>
    <t>Remaining recovery periods</t>
  </si>
  <si>
    <t>Mains and accessories</t>
  </si>
  <si>
    <t xml:space="preserve"> 11 to 86 years </t>
  </si>
  <si>
    <t>Services, meters, and hydrants</t>
  </si>
  <si>
    <t xml:space="preserve"> 18 to 52 years </t>
  </si>
  <si>
    <t>Operations: structures, reservoirs, and water tanks</t>
  </si>
  <si>
    <t xml:space="preserve">  9 to 59 years  </t>
  </si>
  <si>
    <t>Pumping and treatment equipment</t>
  </si>
  <si>
    <t xml:space="preserve"> 8 to 31 years </t>
  </si>
  <si>
    <t>Office, transportation, and operating equipment</t>
  </si>
  <si>
    <t>3 to 24 years</t>
  </si>
  <si>
    <t>Land and other non-depreciable assets</t>
  </si>
  <si>
    <t>na</t>
  </si>
  <si>
    <t>&gt;Utility plant in service</t>
  </si>
  <si>
    <t>Construction work in progress (CWIP)</t>
  </si>
  <si>
    <t>&gt;Total utility plant</t>
  </si>
  <si>
    <t>Source: York Water 10-K (SEC), Significant Accounting Policies.</t>
  </si>
  <si>
    <t>Note: Effective rate of depreciation was 2.21% in 2018 and 2.26% in 2017 on average utility plant, net of customers' advances and contributions.</t>
  </si>
  <si>
    <t>Larger depreciation provisions resulting from allowance accelerated methods are deducted for tax purposes.</t>
  </si>
  <si>
    <t>Values vary from the the PUC Annual Report.</t>
  </si>
  <si>
    <t>8-Construction work in progress (CWIP)</t>
  </si>
  <si>
    <t>Balance End of Year (2018)</t>
  </si>
  <si>
    <t> Estimate Total Cost of Construction</t>
  </si>
  <si>
    <t>Projected In-Service Date</t>
  </si>
  <si>
    <t>304</t>
  </si>
  <si>
    <t>Building Structures</t>
  </si>
  <si>
    <t>by 6/20</t>
  </si>
  <si>
    <t>310</t>
  </si>
  <si>
    <t>Power Generation</t>
  </si>
  <si>
    <t>by 6/19</t>
  </si>
  <si>
    <t>311</t>
  </si>
  <si>
    <t>320</t>
  </si>
  <si>
    <t>Purification Equipment</t>
  </si>
  <si>
    <t>by 12/19</t>
  </si>
  <si>
    <t>330</t>
  </si>
  <si>
    <t>331</t>
  </si>
  <si>
    <t>Mains and Accessories</t>
  </si>
  <si>
    <t>333</t>
  </si>
  <si>
    <t>by 11/19</t>
  </si>
  <si>
    <t>334</t>
  </si>
  <si>
    <t>Meters</t>
  </si>
  <si>
    <t>335</t>
  </si>
  <si>
    <t>Fire Hydrants</t>
  </si>
  <si>
    <t>340</t>
  </si>
  <si>
    <t>Office Furniture &amp; Equipment</t>
  </si>
  <si>
    <t>341</t>
  </si>
  <si>
    <t>by 3/19</t>
  </si>
  <si>
    <t>346</t>
  </si>
  <si>
    <t>SCADA &amp; Communication Equipment</t>
  </si>
  <si>
    <t>347</t>
  </si>
  <si>
    <t>305</t>
  </si>
  <si>
    <t>Workorder A10-050 - Lake Williams RCC Dam Armoring</t>
  </si>
  <si>
    <t>by 12/21</t>
  </si>
  <si>
    <t>Work Order A18-390 - Lake Williams Spillway Replacement</t>
  </si>
  <si>
    <t>by 2/20</t>
  </si>
  <si>
    <t>Work Order A18-041 - Brillart Pumping Station Pump Replacements</t>
  </si>
  <si>
    <t>Work Order A18-011 - Almoney Rd. Standpipe Replacement</t>
  </si>
  <si>
    <t>Retirement Work in Progress</t>
  </si>
  <si>
    <t>TOTAL CONSTRUCTION WORK IN PROGRESS (CWIP)</t>
  </si>
  <si>
    <t>Source: York Water Company PUC Annual Report (2018), Schedule 204.</t>
  </si>
  <si>
    <t>9-Balance sheet assets</t>
  </si>
  <si>
    <t>Sched.</t>
  </si>
  <si>
    <t>UTILITY PLANT</t>
  </si>
  <si>
    <t>101.0</t>
  </si>
  <si>
    <t>Utility Plant in Service</t>
  </si>
  <si>
    <t>102.0</t>
  </si>
  <si>
    <t>Utility Plant Leased to Others</t>
  </si>
  <si>
    <t>103.0</t>
  </si>
  <si>
    <t>Property Held for Future Use</t>
  </si>
  <si>
    <t>104.0</t>
  </si>
  <si>
    <t>Utility Plant Purchased or Sold</t>
  </si>
  <si>
    <t>105.0</t>
  </si>
  <si>
    <t>Construction Work in Progress (CWIP)</t>
  </si>
  <si>
    <t>&gt;Total Utility Plant</t>
  </si>
  <si>
    <t>Total Accumulated Depreciation</t>
  </si>
  <si>
    <t>Accumulated Amortization</t>
  </si>
  <si>
    <t>114.0</t>
  </si>
  <si>
    <t>Utility Plant Acquisition Adjustments</t>
  </si>
  <si>
    <t>115.0</t>
  </si>
  <si>
    <t>Accum. Amort. of Utility Plant Acquisition Adjustments</t>
  </si>
  <si>
    <t>&gt;Total Utility Plant Adjustments</t>
  </si>
  <si>
    <t>TOTAL NET UTILITY PLANT</t>
  </si>
  <si>
    <t>OTHER PROPERTY AND INVESTMENTS</t>
  </si>
  <si>
    <t>121.0</t>
  </si>
  <si>
    <t>Non-Utility Property</t>
  </si>
  <si>
    <t>122.0</t>
  </si>
  <si>
    <t>Accum. Depreciation &amp; Amort. of Non-Utility Property</t>
  </si>
  <si>
    <t>123.0</t>
  </si>
  <si>
    <t>Investments in Affiliated Companies</t>
  </si>
  <si>
    <t>125.0</t>
  </si>
  <si>
    <t>Other Investments</t>
  </si>
  <si>
    <t>126.0</t>
  </si>
  <si>
    <t>Sinking Funds</t>
  </si>
  <si>
    <t>&gt;Total Other Property and Investments</t>
  </si>
  <si>
    <t>CURRENT AND ACCRUED ASSETS</t>
  </si>
  <si>
    <t>Cash on Hand</t>
  </si>
  <si>
    <t>Cash in Bank</t>
  </si>
  <si>
    <t>132.0</t>
  </si>
  <si>
    <t>Special Deposits - Interest and Dividends</t>
  </si>
  <si>
    <t>133.0</t>
  </si>
  <si>
    <t>Other Special Deposits</t>
  </si>
  <si>
    <t>134.0</t>
  </si>
  <si>
    <t>Working Funds</t>
  </si>
  <si>
    <t>135.0</t>
  </si>
  <si>
    <t>Temporary Cash Investments</t>
  </si>
  <si>
    <t>141.0</t>
  </si>
  <si>
    <t>Customers Accounts Receivable</t>
  </si>
  <si>
    <t>142.0</t>
  </si>
  <si>
    <t>Other Accounts Receivable</t>
  </si>
  <si>
    <t>143.0</t>
  </si>
  <si>
    <t>Accumulated Provision for Uncollectible Accounts-Credit</t>
  </si>
  <si>
    <t>144.0</t>
  </si>
  <si>
    <t>Notes Receivable</t>
  </si>
  <si>
    <t>145.0</t>
  </si>
  <si>
    <t>Accounts Receivable from Affiliated Company</t>
  </si>
  <si>
    <t>146.0</t>
  </si>
  <si>
    <t>Notes Receivable from Affiliated Company</t>
  </si>
  <si>
    <t>151.0</t>
  </si>
  <si>
    <t>Plant Materials and Supplies</t>
  </si>
  <si>
    <t>215-418</t>
  </si>
  <si>
    <t>162.0</t>
  </si>
  <si>
    <t>Prepayments</t>
  </si>
  <si>
    <t>171.0</t>
  </si>
  <si>
    <t>Accrued Interest &amp; Dividends Receivable</t>
  </si>
  <si>
    <t>172.0</t>
  </si>
  <si>
    <t>Rents Receivable</t>
  </si>
  <si>
    <t>173.0</t>
  </si>
  <si>
    <t>Accrued Utility Revenues</t>
  </si>
  <si>
    <t>&gt;Total Current &amp; Accrued Assets</t>
  </si>
  <si>
    <t>DEFERRED DEBITS</t>
  </si>
  <si>
    <t>181.0</t>
  </si>
  <si>
    <t>Unamortized Debt Discount and Expense</t>
  </si>
  <si>
    <t>182.0</t>
  </si>
  <si>
    <t>Extraordinary Property Losses</t>
  </si>
  <si>
    <t>183.0</t>
  </si>
  <si>
    <t>Preliminary Survey and Investigation Charges</t>
  </si>
  <si>
    <t>184.0</t>
  </si>
  <si>
    <t>Clearing Accounts</t>
  </si>
  <si>
    <t>185.0</t>
  </si>
  <si>
    <t>Temporary Facilities</t>
  </si>
  <si>
    <t>Deferred Rate Case Expense</t>
  </si>
  <si>
    <t>Other Deferred Debits</t>
  </si>
  <si>
    <t>Deferred Regulatory Assets</t>
  </si>
  <si>
    <t>187.0</t>
  </si>
  <si>
    <t>Research &amp; Development Expenditures</t>
  </si>
  <si>
    <t>419-420</t>
  </si>
  <si>
    <t>Accumulated Deferred Federal Income Taxes</t>
  </si>
  <si>
    <t>Accumulated Deferred State Income Taxes</t>
  </si>
  <si>
    <t>&gt;Total Deferred Debits</t>
  </si>
  <si>
    <t>&gt;TOTAL ASSETS AND OTHER DEBITS</t>
  </si>
  <si>
    <t>Source: York Water Company PUC Annual Report (2018), Schedule 200.</t>
  </si>
  <si>
    <t>10-Balance sheet liabilities</t>
  </si>
  <si>
    <t>CURRENT AND ACCRUED  LIABILITIES</t>
  </si>
  <si>
    <t>Accounts Payable</t>
  </si>
  <si>
    <t>Notes Payable</t>
  </si>
  <si>
    <t>Accounts Payable to Affiliated Companies</t>
  </si>
  <si>
    <t>Notes Payable to Affiliated Companies</t>
  </si>
  <si>
    <t>Customers'  Deposits - Billing</t>
  </si>
  <si>
    <t>Accrued Taxes, Taxes Other Than Income</t>
  </si>
  <si>
    <t>Accrued Taxes, Income Taxes</t>
  </si>
  <si>
    <t>Accrued Taxes, Other Income &amp; Deductions</t>
  </si>
  <si>
    <t>Accrued Interest on Long-Term Debt</t>
  </si>
  <si>
    <t>Accrued  Interest on Other Liabilities</t>
  </si>
  <si>
    <t>Accrued  Dividends</t>
  </si>
  <si>
    <t>Matured Long-Term Debt</t>
  </si>
  <si>
    <t>Matured Interest</t>
  </si>
  <si>
    <t>Miscellaneous Current and Accrued Liabilities</t>
  </si>
  <si>
    <t>&gt;Total Current and Accrued Liabilities</t>
  </si>
  <si>
    <t>DEFERRED CREDITS</t>
  </si>
  <si>
    <t>Unamortized Premium on Debt</t>
  </si>
  <si>
    <t>Advances for Construction</t>
  </si>
  <si>
    <t>Deferred Regulatory Liabilities</t>
  </si>
  <si>
    <t>Other Deferred Credits</t>
  </si>
  <si>
    <t>Accumulated Deferred lTC (Utility Operations)</t>
  </si>
  <si>
    <t>&gt;Total Deferred Credits</t>
  </si>
  <si>
    <t>OPERATING RESERVES</t>
  </si>
  <si>
    <t>Property Insurance Reserve</t>
  </si>
  <si>
    <t>Injuries &amp; Damage Reserve</t>
  </si>
  <si>
    <t>Pensions and Benefits Reserve</t>
  </si>
  <si>
    <t>Miscellaneous Operating Reserve</t>
  </si>
  <si>
    <t>&gt;Total Operating Reserves</t>
  </si>
  <si>
    <t>CONTRIBUTIONS IN AID OF CONSTRUCTION (CIAC)</t>
  </si>
  <si>
    <t>Customer Contributions</t>
  </si>
  <si>
    <t>Developer Contributions</t>
  </si>
  <si>
    <t>Grant(s) in Aid</t>
  </si>
  <si>
    <t>Other</t>
  </si>
  <si>
    <t>&gt;Total Net CIAC</t>
  </si>
  <si>
    <t>ACCUMULATED DEFERRED INCOME TAXES</t>
  </si>
  <si>
    <t>Accelerated Amortization</t>
  </si>
  <si>
    <t>Liberalized Depreciation</t>
  </si>
  <si>
    <t>&gt;Total Accumulated Deferred Income Taxes</t>
  </si>
  <si>
    <t>EQUITY CAPITAL AND LONG-TERM DEBT</t>
  </si>
  <si>
    <t>Equity Capital</t>
  </si>
  <si>
    <t>Long-Term Debt</t>
  </si>
  <si>
    <t>&gt;Total Equity Capital and Long-Term Debt</t>
  </si>
  <si>
    <t xml:space="preserve">TOTAL LIABILITIES &amp; OTHER CREDITS   </t>
  </si>
  <si>
    <t>Source: York Water Company PUC Annual Reports, Schedule 200.</t>
  </si>
  <si>
    <t>11-Retained earnings and dividends</t>
  </si>
  <si>
    <t>Unappropriated Retained Earnings</t>
  </si>
  <si>
    <t>Balance Beginning of Year</t>
  </si>
  <si>
    <t xml:space="preserve">Changes to Account: </t>
  </si>
  <si>
    <t>     Adjustments to Retained Earnings*</t>
  </si>
  <si>
    <t xml:space="preserve">     Credits</t>
  </si>
  <si>
    <t xml:space="preserve">     Debits</t>
  </si>
  <si>
    <t xml:space="preserve">     Balance Transferred From Income</t>
  </si>
  <si>
    <t xml:space="preserve">               Total Unappropriated Retained Earnings</t>
  </si>
  <si>
    <t>Appropriated Retained Earnings </t>
  </si>
  <si>
    <t xml:space="preserve">     Common Stock Dividend Declared</t>
  </si>
  <si>
    <t>&gt; Total Retained Earnings</t>
  </si>
  <si>
    <t xml:space="preserve">Source: York Water  Company PUC Annual Reports, Schedule 223. </t>
  </si>
  <si>
    <t>*Adjustments must be approved by the commission.</t>
  </si>
  <si>
    <t>12-Long-term debt</t>
  </si>
  <si>
    <t>Class and Series of Obligations (a)</t>
  </si>
  <si>
    <t>Nominal Date of Issue (b)</t>
  </si>
  <si>
    <t>Date of Maturity (c)</t>
  </si>
  <si>
    <t>Principal Amount Authorized (d)</t>
  </si>
  <si>
    <t>Outstanding Per Balance Sheet* (e)</t>
  </si>
  <si>
    <t>Interest For Year (%)</t>
  </si>
  <si>
    <t>Interest For Year ($)</t>
  </si>
  <si>
    <t>Sr. Notes Series A</t>
  </si>
  <si>
    <t>Sr. Notes Series B</t>
  </si>
  <si>
    <t>Sr. Notes Series C</t>
  </si>
  <si>
    <t>Sr. Notes Series D</t>
  </si>
  <si>
    <t>4.75% Ind. Dev. Bonds</t>
  </si>
  <si>
    <t>Variable Rate Pedfa Series A</t>
  </si>
  <si>
    <t>5% Sr. Notes Series 2010A</t>
  </si>
  <si>
    <t>4.5% Pedfa Series 2014</t>
  </si>
  <si>
    <t>4% - 4.5% YCIDA Series 2015</t>
  </si>
  <si>
    <t>Committed Lines of Credit</t>
  </si>
  <si>
    <t>2019/2020</t>
  </si>
  <si>
    <t>Libor plus 1.25 - 1.25%</t>
  </si>
  <si>
    <t>Total Obligations Other Than PENNVEST</t>
  </si>
  <si>
    <t xml:space="preserve">1% Pennvest Loan </t>
  </si>
  <si>
    <t>&gt;Total obligations (end of year 2018)</t>
  </si>
  <si>
    <t>&gt;Total obligations (end of year 2017)</t>
  </si>
  <si>
    <t>&gt;Total obligations (end of year 2016)</t>
  </si>
  <si>
    <t>&gt;Interest paid as % of average outstanding</t>
  </si>
  <si>
    <t>Source: York Water PUC Annual Report (2018), Schedule 224.</t>
  </si>
  <si>
    <t>14-Rate base (hypothetical)</t>
  </si>
  <si>
    <t>Average</t>
  </si>
  <si>
    <t>TOTAL PLANT IN SERVICE</t>
  </si>
  <si>
    <t>Accumulated Depreciation</t>
  </si>
  <si>
    <t>?</t>
  </si>
  <si>
    <t>&gt;Plant in Service Net of Accumulated Depreciation</t>
  </si>
  <si>
    <t>Adjustments for Rate Base</t>
  </si>
  <si>
    <t>Utility Plant Acquisition Adjustment</t>
  </si>
  <si>
    <t>Accumulated Amortization of Acquisition Adjustment</t>
  </si>
  <si>
    <t>&gt;Plant in Service Net of Depreciation and Adjustments</t>
  </si>
  <si>
    <t>Calculating the Rate Base: Additions (Included)</t>
  </si>
  <si>
    <t>Plant Held for Future Use</t>
  </si>
  <si>
    <t>Prepayments (insurance, property tax, other)</t>
  </si>
  <si>
    <t>Materials and Supplies</t>
  </si>
  <si>
    <t>Cash Working Capital  (1/8 O&amp;M method)</t>
  </si>
  <si>
    <t>Reguatory Assets (deferred)</t>
  </si>
  <si>
    <t>&gt;Total Additions</t>
  </si>
  <si>
    <t>Calculating the Rate Base: Deductions (Excluded)</t>
  </si>
  <si>
    <t>281-282</t>
  </si>
  <si>
    <t>Accumulated Deferred Income Taxes</t>
  </si>
  <si>
    <t>Accumulated Deferred ITC</t>
  </si>
  <si>
    <t>271.1-2</t>
  </si>
  <si>
    <t>Contributions in Aid of Construction (CIAC, net)</t>
  </si>
  <si>
    <t>Customer Deposits</t>
  </si>
  <si>
    <t>Regulatory Liabilities (deferred)</t>
  </si>
  <si>
    <t>&gt;Total Deductions</t>
  </si>
  <si>
    <t>RATE BASE</t>
  </si>
  <si>
    <t>Source: IPU-MSU hypthetical construct based on York Water financials.</t>
  </si>
  <si>
    <t>13-Regulatory Assets and Liabilities</t>
  </si>
  <si>
    <t>REGULATORY ASSETS</t>
  </si>
  <si>
    <t>Various</t>
  </si>
  <si>
    <t>Postretirement benefits</t>
  </si>
  <si>
    <t>5 to 10 years</t>
  </si>
  <si>
    <t>Unrealized swap losses</t>
  </si>
  <si>
    <t>1 to 12 years</t>
  </si>
  <si>
    <t>Utility plant retirement costs</t>
  </si>
  <si>
    <t>5 years</t>
  </si>
  <si>
    <t>Customer-owned lead service line replacements</t>
  </si>
  <si>
    <t>Not yet known</t>
  </si>
  <si>
    <t>Income taxes on customers' advances for construction and contributions in aid of construction</t>
  </si>
  <si>
    <t>Service life study expenses</t>
  </si>
  <si>
    <t>Rate case filing expenses</t>
  </si>
  <si>
    <t>&gt;Total Regulatory Assets</t>
  </si>
  <si>
    <t>REGULATORY LIABILITIES</t>
  </si>
  <si>
    <t>Excess accumulated deferred income taxes on accelerated depreciation</t>
  </si>
  <si>
    <t xml:space="preserve">      </t>
  </si>
  <si>
    <t>1 to 50 years</t>
  </si>
  <si>
    <t>IRS TPR catch-up deduction</t>
  </si>
  <si>
    <t>Revenue reduction for tax rate change</t>
  </si>
  <si>
    <t>2 years</t>
  </si>
  <si>
    <t>&gt;Total Regulatory Liabilities</t>
  </si>
  <si>
    <t>Source: SEC filing (XBRL).</t>
  </si>
  <si>
    <t xml:space="preserve">Current Regulatory Liabilities </t>
  </si>
  <si>
    <t>Source: York Water Company PUC Annual Reports.</t>
  </si>
  <si>
    <t>Note that PUC and SEC value may vary due to accounting differenes.</t>
  </si>
  <si>
    <t>Regulatory Assets (deferred)</t>
  </si>
  <si>
    <t>15-Income statement</t>
  </si>
  <si>
    <t>UTILITY OPERATING REVENUE</t>
  </si>
  <si>
    <t>UTILITY OPERATING EXPENSE (O&amp;M)</t>
  </si>
  <si>
    <t>DEPRECIATION AND AMORTIZATION</t>
  </si>
  <si>
    <t>Depreciation Expense</t>
  </si>
  <si>
    <t>Amortization of Utility Plant Acquisition Adjustment</t>
  </si>
  <si>
    <t>&gt;Depreciation and Amortization</t>
  </si>
  <si>
    <t xml:space="preserve">TAXES  </t>
  </si>
  <si>
    <t>Taxes Other Than Income</t>
  </si>
  <si>
    <t>Federal Income Taxes, Utility Operating Income</t>
  </si>
  <si>
    <t>State Income Taxes, Utility Operating Income</t>
  </si>
  <si>
    <t>&gt;Tax Expense</t>
  </si>
  <si>
    <t>DEFERRED INCOME TAXES</t>
  </si>
  <si>
    <t>Federal Deferred Income Tax</t>
  </si>
  <si>
    <t>State Deferred Income Tax</t>
  </si>
  <si>
    <t>&gt;Total Deferred Income Tax</t>
  </si>
  <si>
    <t>TOTAL TAX CREDITS (ITC)</t>
  </si>
  <si>
    <t>&gt;Total Utility Operating Expenses</t>
  </si>
  <si>
    <t>NET OPERATING INCOME (NOI)</t>
  </si>
  <si>
    <t>NON-OPERATING INCOME AND DEDUCTIONS</t>
  </si>
  <si>
    <t>Interest &amp; Dividend Income</t>
  </si>
  <si>
    <t>Allowance for Funds Used During Construction (AFUDC)</t>
  </si>
  <si>
    <t>Non-Utility Income</t>
  </si>
  <si>
    <t>&gt;Total Non-Operating Income and Deductions</t>
  </si>
  <si>
    <t>Miscellaneous Non-Utility Expenses</t>
  </si>
  <si>
    <t>INTEREST EXPENSE</t>
  </si>
  <si>
    <t>Interest Expense</t>
  </si>
  <si>
    <t>Amortization of Debt Discount and Expenses</t>
  </si>
  <si>
    <t>Amortization of Premium Debt</t>
  </si>
  <si>
    <t>&gt;Total Interest Expense</t>
  </si>
  <si>
    <t>NET INCOME (LOSS)</t>
  </si>
  <si>
    <t xml:space="preserve">&gt;Net Income (net of non-operating)** </t>
  </si>
  <si>
    <t>Source: York Water Company PUC Annual Reports, Schedule 401.</t>
  </si>
  <si>
    <t>16-Income statement comparison</t>
  </si>
  <si>
    <t>YORK</t>
  </si>
  <si>
    <t>Public</t>
  </si>
  <si>
    <t>Coop</t>
  </si>
  <si>
    <t>Payment in Lieu of Taxes</t>
  </si>
  <si>
    <t>NET UTILITY OPERATING INCOME (NOI)</t>
  </si>
  <si>
    <t>Principal Payments</t>
  </si>
  <si>
    <t>Total Debt Service</t>
  </si>
  <si>
    <t>&gt;Net income (before non-operting income &amp; deductions)</t>
  </si>
  <si>
    <t>&gt;Net Income (net of non-operating)*</t>
  </si>
  <si>
    <t>&gt; NOI less Debt Service (Fund Balance)</t>
  </si>
  <si>
    <t>Source: York Water Company PUC Annual Reports, Schedule 400.</t>
  </si>
  <si>
    <t>17-Operating revenues</t>
  </si>
  <si>
    <t>WATER SALES REVENUE</t>
  </si>
  <si>
    <t>Unmetered Water Revenue</t>
  </si>
  <si>
    <t>Metered Water Revenue</t>
  </si>
  <si>
    <t>Residential</t>
  </si>
  <si>
    <t>Commercial</t>
  </si>
  <si>
    <t>Industrial</t>
  </si>
  <si>
    <t>Multiple Family Dwellings</t>
  </si>
  <si>
    <t>&gt;Total Metered Water Revenue</t>
  </si>
  <si>
    <t>Public Fire Protection</t>
  </si>
  <si>
    <t>Private Fire Protection</t>
  </si>
  <si>
    <t>Other Sales to Public (Special Contracts)</t>
  </si>
  <si>
    <t>TOTAL WATER SALES</t>
  </si>
  <si>
    <t>OTHER WATER REVENUES</t>
  </si>
  <si>
    <t>Sales for Resale (Wholesale)</t>
  </si>
  <si>
    <t>Interdepartmental Sales</t>
  </si>
  <si>
    <t>Forfeited Discounts</t>
  </si>
  <si>
    <t>Miscellaneous Service Revenues</t>
  </si>
  <si>
    <t>Rents from Water Property</t>
  </si>
  <si>
    <t>Interdepartmental Rents</t>
  </si>
  <si>
    <t>Other Water Revenues*</t>
  </si>
  <si>
    <t>&gt;Total Other Water Revenues</t>
  </si>
  <si>
    <t>TOTAL WATER SALES AND OTHER REVENUES</t>
  </si>
  <si>
    <t>* Negative value for 2018 associated with tax reform.</t>
  </si>
  <si>
    <t>18-Operation and maintenance expenses</t>
  </si>
  <si>
    <t>SALARIES, WAGES, AND PENSIONS</t>
  </si>
  <si>
    <t>601.0</t>
  </si>
  <si>
    <t>Employees</t>
  </si>
  <si>
    <t>603.0</t>
  </si>
  <si>
    <t>Officers, Directors, and Majority Stockholders</t>
  </si>
  <si>
    <t>604.0</t>
  </si>
  <si>
    <t>409-A</t>
  </si>
  <si>
    <t>Employee Pensions and Benefits</t>
  </si>
  <si>
    <t>&gt;Total Salaries, Wages, and Pensions</t>
  </si>
  <si>
    <t>MAJOR PURCHASES</t>
  </si>
  <si>
    <t>610.0</t>
  </si>
  <si>
    <t>Purchased Water</t>
  </si>
  <si>
    <t>615.0</t>
  </si>
  <si>
    <t>Purchased Power</t>
  </si>
  <si>
    <t>616.0</t>
  </si>
  <si>
    <t>Fuel for Power Production</t>
  </si>
  <si>
    <t>618.0</t>
  </si>
  <si>
    <t>Chemicals</t>
  </si>
  <si>
    <t>620.0</t>
  </si>
  <si>
    <t>&gt;Total Major Purchases</t>
  </si>
  <si>
    <t>CONTRACTUAL SERVICES</t>
  </si>
  <si>
    <t>631.0</t>
  </si>
  <si>
    <t>411-A</t>
  </si>
  <si>
    <t>Engineering</t>
  </si>
  <si>
    <t>632.0</t>
  </si>
  <si>
    <t>Accounting</t>
  </si>
  <si>
    <t>633.0</t>
  </si>
  <si>
    <t>Legal</t>
  </si>
  <si>
    <t>634.0</t>
  </si>
  <si>
    <t>411-B</t>
  </si>
  <si>
    <t>Management Fees</t>
  </si>
  <si>
    <t>635.0</t>
  </si>
  <si>
    <t>Testing</t>
  </si>
  <si>
    <t>636.0</t>
  </si>
  <si>
    <t>Other- Maintenance</t>
  </si>
  <si>
    <t>&gt;Total Contractual Services</t>
  </si>
  <si>
    <t>RENTAL AND TRANSPORATION</t>
  </si>
  <si>
    <t>641.0</t>
  </si>
  <si>
    <t>Rental of Building/Real Property</t>
  </si>
  <si>
    <t>642.0</t>
  </si>
  <si>
    <t>Rental of Equipment</t>
  </si>
  <si>
    <t>650.0</t>
  </si>
  <si>
    <t>Transportation Expenses</t>
  </si>
  <si>
    <t>&gt;Total Rental and Transportation</t>
  </si>
  <si>
    <t>INSURANCE</t>
  </si>
  <si>
    <t>656.0</t>
  </si>
  <si>
    <t>Vehicle</t>
  </si>
  <si>
    <t>657.0</t>
  </si>
  <si>
    <t>General Liability</t>
  </si>
  <si>
    <t>658.0</t>
  </si>
  <si>
    <t>Workman's Compensation</t>
  </si>
  <si>
    <t>659.0</t>
  </si>
  <si>
    <t>&gt;Total Insurance</t>
  </si>
  <si>
    <t>MISCELLANEOUS EXPENSES</t>
  </si>
  <si>
    <t>660.0</t>
  </si>
  <si>
    <t>Advertising Expense - Other than Conservation</t>
  </si>
  <si>
    <t>666.0</t>
  </si>
  <si>
    <t>Regulatory Expenses - Amort. of Rate Case Expense</t>
  </si>
  <si>
    <t>667.0</t>
  </si>
  <si>
    <t>Regulatory Expenses - Other</t>
  </si>
  <si>
    <t>668.0</t>
  </si>
  <si>
    <t>Water Resource Conservation Expense</t>
  </si>
  <si>
    <t>670.0</t>
  </si>
  <si>
    <t>Bad Debt Expense</t>
  </si>
  <si>
    <t>675.0</t>
  </si>
  <si>
    <t>Miscellaneous Other</t>
  </si>
  <si>
    <t>Membership Dues</t>
  </si>
  <si>
    <t>Registration Fees for Conventions &amp; Meetings of Industry</t>
  </si>
  <si>
    <t>Communication Services</t>
  </si>
  <si>
    <t>Trustee Fees and Bank Charges</t>
  </si>
  <si>
    <t>Stockholders Expenses</t>
  </si>
  <si>
    <t>Office Expenses and Utilities</t>
  </si>
  <si>
    <t>Uniforms</t>
  </si>
  <si>
    <t>Directors Fees and Expenses</t>
  </si>
  <si>
    <t>Mailing</t>
  </si>
  <si>
    <t>Subscriptions</t>
  </si>
  <si>
    <t>Write-off of expenditures included in Account 183.0</t>
  </si>
  <si>
    <t>Travel</t>
  </si>
  <si>
    <t>Education</t>
  </si>
  <si>
    <t>Charitable Contributions</t>
  </si>
  <si>
    <t>&gt;Total Miscellaneous Expenses</t>
  </si>
  <si>
    <t>TOTAL OPERATION AND MAINTENANCE EXPENSE</t>
  </si>
  <si>
    <t>Source: York Water Company PUC Annual Reports, Schedule 407.</t>
  </si>
  <si>
    <t>19-Operation and maintenance expenses by function (allocated)</t>
  </si>
  <si>
    <t>Totals from
Schedule 407 (b)</t>
  </si>
  <si>
    <t>Sources of supply and expenses - operations (c)</t>
  </si>
  <si>
    <t>Sources of supply and expenses - maintenance (d)</t>
  </si>
  <si>
    <t>Water treatment expenses operations (e)</t>
  </si>
  <si>
    <t>Water treatment expenses maintenance (t)</t>
  </si>
  <si>
    <t>Transmission and distribution operations</t>
  </si>
  <si>
    <t>Transmission and distribution maintenance (h)</t>
  </si>
  <si>
    <t>Customer accounts expenses (i)</t>
  </si>
  <si>
    <t>Administrative and general expenses (j)</t>
  </si>
  <si>
    <t>Salaries and Wages</t>
  </si>
  <si>
    <t>&gt;Total Salaries and Wages</t>
  </si>
  <si>
    <t>Contractual Service</t>
  </si>
  <si>
    <t>Contract Services Testing</t>
  </si>
  <si>
    <t>Other - Maintenance</t>
  </si>
  <si>
    <t>&gt;Total Contractual Service</t>
  </si>
  <si>
    <t>Miscellaneous Expense</t>
  </si>
  <si>
    <t>Communications Service</t>
  </si>
  <si>
    <t>TOTALS</t>
  </si>
  <si>
    <t>Source: York Water Company PUC Annual Reports, Schedule 409. Does not account for total operating expense.</t>
  </si>
  <si>
    <t>20-Cash flow statement</t>
  </si>
  <si>
    <t>12 Months Ended</t>
  </si>
  <si>
    <t>Statements of Cash Flows - USD ($) $ in Thousands</t>
  </si>
  <si>
    <t>Dec. 31, 2018</t>
  </si>
  <si>
    <t>Dec. 31, 2017</t>
  </si>
  <si>
    <t>Dec. 31, 2016</t>
  </si>
  <si>
    <t>Dec. 31, 2015</t>
  </si>
  <si>
    <t>CASH FLOWS FROM OPERATING ACTIVITIES:</t>
  </si>
  <si>
    <t>Net income</t>
  </si>
  <si>
    <t>Adjustments to reconcile net income to net cash provided by operating activities:</t>
  </si>
  <si>
    <t>Gain on sale of land</t>
  </si>
  <si>
    <t>Depreciation and amortization</t>
  </si>
  <si>
    <t>Stock-based compensation</t>
  </si>
  <si>
    <t>Increase in deferred income taxes</t>
  </si>
  <si>
    <t>Changes in assets and liabilities:</t>
  </si>
  <si>
    <t>Increase in accounts receivable and unbilled revenues</t>
  </si>
  <si>
    <t>(Increase) decrease in recoverable income taxes</t>
  </si>
  <si>
    <t>Increase in materials and supplies, prepaid expenses, regulatory and other assets</t>
  </si>
  <si>
    <t>Increase (decrease) in accounts payable, accrued compensation and benefits, accrued expenses, deferred employee benefits, and other deferred credits</t>
  </si>
  <si>
    <t>Increase (decrease) in accrued interest and taxes</t>
  </si>
  <si>
    <t>&gt;Net cash provided by operating activities</t>
  </si>
  <si>
    <t>CASH FLOWS FROM INVESTING ACTIVITIES:</t>
  </si>
  <si>
    <t>Utility plant additions, including debt portion of AFUDC of $128 in 2018, $483 in 2017, $127 in 2016 and $115 in 2015</t>
  </si>
  <si>
    <t>Acquisitions of water and wastewater systems</t>
  </si>
  <si>
    <t>Proceeds from sale of land</t>
  </si>
  <si>
    <t>Decrease in notes receivable</t>
  </si>
  <si>
    <t>Cash received from surrender of life insurance policies</t>
  </si>
  <si>
    <t>&gt;Net cash used in investing activities</t>
  </si>
  <si>
    <t>CASH FLOWS FROM FINANCING ACTIVITIES:</t>
  </si>
  <si>
    <t>Customers' advances for construction and contributions in aid of construction</t>
  </si>
  <si>
    <t>Repayments of customer advances</t>
  </si>
  <si>
    <t>Proceeds of long-term debt issues</t>
  </si>
  <si>
    <t>Debt issuance costs</t>
  </si>
  <si>
    <t>Repayments of long-term debt</t>
  </si>
  <si>
    <t>Borrowings under short-term line of credit agreements</t>
  </si>
  <si>
    <t>Changes in cash overdraft position</t>
  </si>
  <si>
    <t>Repurchase of common stock</t>
  </si>
  <si>
    <t>Issuance of common stock</t>
  </si>
  <si>
    <t>Dividends paid</t>
  </si>
  <si>
    <t>&gt;Net cash provided by (used in) financing activities</t>
  </si>
  <si>
    <t>Net change in cash and cash equivalents</t>
  </si>
  <si>
    <t>Cash and cash equivalents at beginning of period</t>
  </si>
  <si>
    <t>&gt;Cash and cash equivalents at end of period</t>
  </si>
  <si>
    <t>Cash paid during the period for:</t>
  </si>
  <si>
    <t>Interest, net of amounts capitalized</t>
  </si>
  <si>
    <t>Source: York Water  Company SEC filed data (XBRL).</t>
  </si>
  <si>
    <t>Supplemental disclosure of non-cash investing and financing activities:</t>
  </si>
  <si>
    <t>Accounts payable includes $1,100 in 2018 and $1,498 in 2017 for the construction of utility plant.</t>
  </si>
  <si>
    <t>21-Capital structure</t>
  </si>
  <si>
    <t>Equity Capital and Liabilities</t>
  </si>
  <si>
    <t>Common Stock Issued</t>
  </si>
  <si>
    <t>Capital Stock Expense</t>
  </si>
  <si>
    <t>&gt;Total Equity Capital</t>
  </si>
  <si>
    <t>Bonds</t>
  </si>
  <si>
    <t>Other Long-Term Debt</t>
  </si>
  <si>
    <t>&gt;Total Long-Term Debt</t>
  </si>
  <si>
    <t>&gt;TOTAL CAPITAL</t>
  </si>
  <si>
    <t>COST OF CAPITAL</t>
  </si>
  <si>
    <t>Authorized Return on Equity (DCF)</t>
  </si>
  <si>
    <t>Effective Interest Rate on Debt</t>
  </si>
  <si>
    <t>CAPITAL STRUCTURE</t>
  </si>
  <si>
    <t>Percentage</t>
  </si>
  <si>
    <t>Rate</t>
  </si>
  <si>
    <t>Weighted Cost</t>
  </si>
  <si>
    <t>Percentage Common Equity Capital</t>
  </si>
  <si>
    <t>Percentage Long-Term Debt</t>
  </si>
  <si>
    <t>&gt;Total</t>
  </si>
  <si>
    <t xml:space="preserve">Source: York Water Company PUC Annual Reports, Schedules 200 and 224. </t>
  </si>
  <si>
    <t>Tax effects are ignored. </t>
  </si>
  <si>
    <t>Source: PA PUC http://www.puc.state.pa.us/filing_resources/quarterly_earnings_sum_rpt.aspx</t>
  </si>
  <si>
    <t>22-Equity returns</t>
  </si>
  <si>
    <t>Quarter</t>
  </si>
  <si>
    <t>Actual</t>
  </si>
  <si>
    <t>Adjusted</t>
  </si>
  <si>
    <t>2013-4</t>
  </si>
  <si>
    <t>2014-1</t>
  </si>
  <si>
    <t>2014-2</t>
  </si>
  <si>
    <t>2014-3</t>
  </si>
  <si>
    <t>2014-4</t>
  </si>
  <si>
    <t>2015-1</t>
  </si>
  <si>
    <t>2015-2</t>
  </si>
  <si>
    <t>2015-3</t>
  </si>
  <si>
    <t>2015-4</t>
  </si>
  <si>
    <t>2016-1</t>
  </si>
  <si>
    <t>2016-2</t>
  </si>
  <si>
    <t>2016-4</t>
  </si>
  <si>
    <t>2017-1</t>
  </si>
  <si>
    <t>2017-2</t>
  </si>
  <si>
    <t>2017-3</t>
  </si>
  <si>
    <t>2017-4</t>
  </si>
  <si>
    <t>2018-1</t>
  </si>
  <si>
    <t>2018-2</t>
  </si>
  <si>
    <t>2018-3</t>
  </si>
  <si>
    <t>2018-4</t>
  </si>
  <si>
    <t>2019-1</t>
  </si>
  <si>
    <t>2019-2</t>
  </si>
  <si>
    <t>Source: PA PUC Quarterly Earnings Report.</t>
  </si>
  <si>
    <t>Per the report, "Actual" is based on actual results of operations" and adjusted" is based on company proposed pro forma and ratemaking adjustments.</t>
  </si>
  <si>
    <t>http://www.puc.state.pa.us/filing_resources/quarterly_earnings_sum_rpt.aspx</t>
  </si>
  <si>
    <t>23-Revenue requirements and returns (hypothetical)</t>
  </si>
  <si>
    <t>Private: RBROR*</t>
  </si>
  <si>
    <t>Public: DSCR (1.25)*</t>
  </si>
  <si>
    <t>Coop: TIER (2.0)*</t>
  </si>
  <si>
    <t>RATEMAKING: Revenues = Net Income + Expenses</t>
  </si>
  <si>
    <t>$</t>
  </si>
  <si>
    <t>%</t>
  </si>
  <si>
    <t>r(RB)</t>
  </si>
  <si>
    <t>Net Operating Income (NOI) = Overall Return ($)</t>
  </si>
  <si>
    <t>O&amp;M</t>
  </si>
  <si>
    <t>Utility Operation &amp; Maintanence Expense</t>
  </si>
  <si>
    <t>D</t>
  </si>
  <si>
    <t>Depreciation and Amortization Expense</t>
  </si>
  <si>
    <t>T</t>
  </si>
  <si>
    <t>Taxes Other than Income</t>
  </si>
  <si>
    <t>Federal and State Income Taxes</t>
  </si>
  <si>
    <t>Deferred Income Taxes</t>
  </si>
  <si>
    <t>Total Tax Credits</t>
  </si>
  <si>
    <t>Payment in Lieu of Taxes (PILT)</t>
  </si>
  <si>
    <t>RR</t>
  </si>
  <si>
    <t>&gt;Total Revenue Requirements</t>
  </si>
  <si>
    <t>NOI</t>
  </si>
  <si>
    <t>Net Operating Income (after taxes)</t>
  </si>
  <si>
    <t>RB</t>
  </si>
  <si>
    <t>Rate Base</t>
  </si>
  <si>
    <t>r</t>
  </si>
  <si>
    <t>&gt;Overall Return for Debt and Equity (%)</t>
  </si>
  <si>
    <t>Net Operating Income (after taxes or PILT)</t>
  </si>
  <si>
    <t>Int</t>
  </si>
  <si>
    <t>Total Interest Expense (INT)</t>
  </si>
  <si>
    <t>P</t>
  </si>
  <si>
    <t>DS</t>
  </si>
  <si>
    <t>&gt;Total Debt Service</t>
  </si>
  <si>
    <t>DSCR</t>
  </si>
  <si>
    <t>&gt;Net Operating Income (after taxes) = 1.25 * (DS)</t>
  </si>
  <si>
    <t>TIER</t>
  </si>
  <si>
    <t>&gt;Net Operating Income (after taxes) = 2.0 * (INT)</t>
  </si>
  <si>
    <t>&lt;Net Operating Income (after taxes) less expenses</t>
  </si>
  <si>
    <t>FINANCIAL SUMMARY</t>
  </si>
  <si>
    <t>Total Operating Revenues from Sales</t>
  </si>
  <si>
    <t>Total Operating Expenses (including taxes or PILT)</t>
  </si>
  <si>
    <t>&gt;Net Operating Income</t>
  </si>
  <si>
    <t>Interest or Debt Service</t>
  </si>
  <si>
    <t>&gt;Net Income**</t>
  </si>
  <si>
    <t>&gt;Retained in Fund Balance for Coverage (Reserves)</t>
  </si>
  <si>
    <t>Available to System to Spend or Transfer</t>
  </si>
  <si>
    <t>Available to Shareholders or System</t>
  </si>
  <si>
    <t>ROE$</t>
  </si>
  <si>
    <t>Net Income Available = (NOI - Interest)</t>
  </si>
  <si>
    <t>Equity</t>
  </si>
  <si>
    <t>Shareholder Equity Capital</t>
  </si>
  <si>
    <t>ROE%</t>
  </si>
  <si>
    <t>&gt;Shareholder Return (%)</t>
  </si>
  <si>
    <t>Source: IPU-MSU hypothetical construct. Excludes nonoperating income.</t>
  </si>
  <si>
    <t>*RBROR = Rate base with rate of return; DSCR = debt service coverage ratio.</t>
  </si>
  <si>
    <t>**Excludes non-operating income and deductions.</t>
  </si>
  <si>
    <t>24-Revenue Conversion Factor</t>
  </si>
  <si>
    <t>Before gross up: income deficiency</t>
  </si>
  <si>
    <t>After gross up: revenue deficiency</t>
  </si>
  <si>
    <t>Deficiency or Excess</t>
  </si>
  <si>
    <t>Applied to Gross Revenue</t>
  </si>
  <si>
    <t>Uncollectible expense</t>
  </si>
  <si>
    <t>Regulatory fee</t>
  </si>
  <si>
    <t>Gross receipts tax or franchise fee</t>
  </si>
  <si>
    <t>Net income for tax purposes</t>
  </si>
  <si>
    <t>Applied to Net Revenue</t>
  </si>
  <si>
    <t>State income taxes (PA rate)</t>
  </si>
  <si>
    <t>Income before federal income taxes</t>
  </si>
  <si>
    <t>Federal income taxes</t>
  </si>
  <si>
    <t>Income net of taxes and fees</t>
  </si>
  <si>
    <t>Shortfall (or excess) in revenue</t>
  </si>
  <si>
    <t>Other expenses and fees</t>
  </si>
  <si>
    <t>Combined income tax rate on net income</t>
  </si>
  <si>
    <t>Total expenses, fees, and taxes</t>
  </si>
  <si>
    <t>Revenue conversion factor  (1/1-r)</t>
  </si>
  <si>
    <t>Revenue conversion factor  (need/net)</t>
  </si>
  <si>
    <t>Source: IPU-MSU construct.</t>
  </si>
  <si>
    <t>25-Revenue deficiency: private (RBROR)</t>
  </si>
  <si>
    <t>Description</t>
  </si>
  <si>
    <t>2018 End-of-Year Actual</t>
  </si>
  <si>
    <t>Change in Expense Only</t>
  </si>
  <si>
    <t>Change in Rate Base Only</t>
  </si>
  <si>
    <t>Change in Expense and Rate Base</t>
  </si>
  <si>
    <t>RESULTS BEFORE ADJUSTMENT</t>
  </si>
  <si>
    <t>Total Utility Operating Revenues</t>
  </si>
  <si>
    <t>Total Utility Expenditures</t>
  </si>
  <si>
    <t xml:space="preserve">Net Operating Income </t>
  </si>
  <si>
    <t>Hypothetical Rate Base</t>
  </si>
  <si>
    <t>Net Operating Income </t>
  </si>
  <si>
    <t>Return on Rate Base (based on actual)</t>
  </si>
  <si>
    <t>Operating Income Deficiency (Excess)</t>
  </si>
  <si>
    <t>Due to operating expenses</t>
  </si>
  <si>
    <t>Due to ratebase investment (earnings)</t>
  </si>
  <si>
    <t>Total Income Deciency (Excess)</t>
  </si>
  <si>
    <t>Revenue Conversion Factor</t>
  </si>
  <si>
    <t>Revenue Deficiency (Excess)</t>
  </si>
  <si>
    <t>RESULTS AFTER ADJUSTMENT</t>
  </si>
  <si>
    <t>Total Utility Operating Revenues (adjusted)</t>
  </si>
  <si>
    <t>Total Utility Expenditures (adjusted)</t>
  </si>
  <si>
    <t>Net Operating Income (adjusted)</t>
  </si>
  <si>
    <t>Hypothetical and Adjusted Rate Base</t>
  </si>
  <si>
    <t>Source: IPU-MSU hypothetical construct. Additional revenue requirement is based on the Settlement Order.</t>
  </si>
  <si>
    <t>Effective interest rate on debt</t>
  </si>
  <si>
    <t>Source: PA PUC (http://www.puc.pa.gov//pcdocs/1602351.docx).</t>
  </si>
  <si>
    <t>Source: IPU-MSU hypthetical construct. Additional revenue requirement is based on the Settlement Order.</t>
  </si>
  <si>
    <t>26-Revenue deficiency: non-private (DSCR)</t>
  </si>
  <si>
    <t>Line No</t>
  </si>
  <si>
    <t>Public: DSCR (1.25)</t>
  </si>
  <si>
    <t>Coop: TIER (2.0)</t>
  </si>
  <si>
    <t>Annual Debt Service*</t>
  </si>
  <si>
    <t> </t>
  </si>
  <si>
    <t>Debt Service Coverage Ratio (DSCR)</t>
  </si>
  <si>
    <t>Net Operating Income Requirement</t>
  </si>
  <si>
    <t>TIER requirement set by lenders</t>
  </si>
  <si>
    <t>Minimum Net Operating Income Requirement</t>
  </si>
  <si>
    <t>Net Operating Income before Adjustment</t>
  </si>
  <si>
    <t>DSCR without increase</t>
  </si>
  <si>
    <t>TIER without increase</t>
  </si>
  <si>
    <t>Revenue Conversion Factor (based on PILT)</t>
  </si>
  <si>
    <t>Revenue Deficiency (Excess)</t>
  </si>
  <si>
    <t>Net Operating Income After Taxes (NOI)</t>
  </si>
  <si>
    <t>Change in Operating Income</t>
  </si>
  <si>
    <t>Change in Operating Expenses</t>
  </si>
  <si>
    <t>Adjusted Net Operating Income</t>
  </si>
  <si>
    <t>DSCR after adjustment to income</t>
  </si>
  <si>
    <t>TIER after adjumstment to income</t>
  </si>
  <si>
    <t>Source: IPU-MSU hypothetical construct.</t>
  </si>
  <si>
    <t>*Debt service include principal and interest.</t>
  </si>
  <si>
    <t>27-Water withdrawals by month</t>
  </si>
  <si>
    <t>S.B. Codorus Creek</t>
  </si>
  <si>
    <t>Susquehanna River</t>
  </si>
  <si>
    <t>Well 1 Carroll</t>
  </si>
  <si>
    <t>Well 2 Carroll</t>
  </si>
  <si>
    <t>Well 1 E. Cumberland</t>
  </si>
  <si>
    <t>Well 2 E. Cumberland</t>
  </si>
  <si>
    <t>Well 3 W. Cumberland</t>
  </si>
  <si>
    <t>Well 5 W. Cumberland</t>
  </si>
  <si>
    <t>Total</t>
  </si>
  <si>
    <t>High and low</t>
  </si>
  <si>
    <t>Jan</t>
  </si>
  <si>
    <t>Feb</t>
  </si>
  <si>
    <t>Mar</t>
  </si>
  <si>
    <t>Apr</t>
  </si>
  <si>
    <t>May</t>
  </si>
  <si>
    <t>Jun</t>
  </si>
  <si>
    <t>Jul</t>
  </si>
  <si>
    <t>High</t>
  </si>
  <si>
    <t>Aug</t>
  </si>
  <si>
    <t>Sep</t>
  </si>
  <si>
    <t>Oct</t>
  </si>
  <si>
    <t>Nov</t>
  </si>
  <si>
    <t>Dec</t>
  </si>
  <si>
    <t>Low</t>
  </si>
  <si>
    <t>Source: York PUC Annual Report (2018).</t>
  </si>
  <si>
    <t>28-Water deliveries, sales, and unaccounted-for water</t>
  </si>
  <si>
    <t>2018 Customers</t>
  </si>
  <si>
    <t>2017 Customers</t>
  </si>
  <si>
    <t>2016 Customers</t>
  </si>
  <si>
    <t>2018 Gallons (000)</t>
  </si>
  <si>
    <t>2017 Gallons (000)</t>
  </si>
  <si>
    <t>2016 Gallons (000)</t>
  </si>
  <si>
    <t>TOTAL WATER DELIVERED</t>
  </si>
  <si>
    <t>METERED WATER SALES</t>
  </si>
  <si>
    <t>Private Fire</t>
  </si>
  <si>
    <t>Public Fire</t>
  </si>
  <si>
    <t>&gt;Total Metered Water Customers</t>
  </si>
  <si>
    <t>&gt;Total Gallons Sold </t>
  </si>
  <si>
    <t>NON-REVENUE USAGE ALLOWANCES</t>
  </si>
  <si>
    <t>Main Flushing</t>
  </si>
  <si>
    <t>Blow-off Use</t>
  </si>
  <si>
    <t>Other: Company Use</t>
  </si>
  <si>
    <t>Unauthorized Use</t>
  </si>
  <si>
    <t>Unavoidable Leakage</t>
  </si>
  <si>
    <t>Located &amp; Repaired Breaks in Mains and Services</t>
  </si>
  <si>
    <t>&gt;Total Allowances and Adjustments</t>
  </si>
  <si>
    <t>UNACCOUNTED-FOR-WATER</t>
  </si>
  <si>
    <t>Percentage Unaccounted-for-Water</t>
  </si>
  <si>
    <t>Total Metered Water Customers</t>
  </si>
  <si>
    <t>&gt;Percentage change</t>
  </si>
  <si>
    <t>Total Gallons Sold</t>
  </si>
  <si>
    <t>Source: York Water Company PUC Annual Reports, Schedules 402, 403, and 500.</t>
  </si>
  <si>
    <t>29-Non-revenue water production</t>
  </si>
  <si>
    <t>York Water</t>
  </si>
  <si>
    <t>Total water delivered</t>
  </si>
  <si>
    <t>Total metered and unmetered  sales</t>
  </si>
  <si>
    <t>Allowances and adjustments</t>
  </si>
  <si>
    <t>Unaccounted-for water (gallons)</t>
  </si>
  <si>
    <t>Water sold (%)</t>
  </si>
  <si>
    <t>Allowances and adjustments (%)</t>
  </si>
  <si>
    <t>Unaccounted-for water (%)</t>
  </si>
  <si>
    <t>Aqua America</t>
  </si>
  <si>
    <t>Pennsylvania-America</t>
  </si>
  <si>
    <t>Artesian</t>
  </si>
  <si>
    <t>Source: PUC Annual Reports, Schedule 500. Unaccounted-for water in 2018 may be affected by revised water quality regulations (chloramine).</t>
  </si>
  <si>
    <t>30-Revenues by class and effective prices at present rates</t>
  </si>
  <si>
    <t>Wholesale</t>
  </si>
  <si>
    <t>Customers</t>
  </si>
  <si>
    <t>Gallons sold (000)</t>
  </si>
  <si>
    <t>Revenues from sales</t>
  </si>
  <si>
    <t>Percentage of gallons sold</t>
  </si>
  <si>
    <t>Percentage of total sales revenues</t>
  </si>
  <si>
    <t>Effective price</t>
  </si>
  <si>
    <t>&gt;Revenues/gallons sold (000)</t>
  </si>
  <si>
    <t>&gt;Ratio of class price to residential</t>
  </si>
  <si>
    <t>Revenue allocation</t>
  </si>
  <si>
    <t>&gt;All customers pay same price</t>
  </si>
  <si>
    <t>&gt;Difference from actual allocation</t>
  </si>
  <si>
    <t xml:space="preserve">             </t>
  </si>
  <si>
    <t>Source: York Water PUC Annual Report (2018), Schedules 401, 402, and 500. Excludes other revenues from Schedule 401 due to negative value for 2018 (tax refund effect).</t>
  </si>
  <si>
    <t>`</t>
  </si>
  <si>
    <t>31-Average water demand data</t>
  </si>
  <si>
    <t>Water usage</t>
  </si>
  <si>
    <t>Min. day</t>
  </si>
  <si>
    <t>Avg. day</t>
  </si>
  <si>
    <t>Max. day (est.)</t>
  </si>
  <si>
    <t>Avg. day %</t>
  </si>
  <si>
    <t>Unmetered other</t>
  </si>
  <si>
    <t>Losses</t>
  </si>
  <si>
    <t>Total reported </t>
  </si>
  <si>
    <t>Total metered average</t>
  </si>
  <si>
    <t>Peak to average  day</t>
  </si>
  <si>
    <t>Source: York Water Company PUC Annual Report (2018). Peak day is estimated.</t>
  </si>
  <si>
    <t>32-Water usage and peaking trends</t>
  </si>
  <si>
    <t>Year</t>
  </si>
  <si>
    <t>Minimum day</t>
  </si>
  <si>
    <t>Maximum day</t>
  </si>
  <si>
    <t>Minimum day (gal.)</t>
  </si>
  <si>
    <t>Maximum day (gal.)</t>
  </si>
  <si>
    <t>Average-day demand (gal.)</t>
  </si>
  <si>
    <t xml:space="preserve">Residential </t>
  </si>
  <si>
    <t xml:space="preserve">Industrial </t>
  </si>
  <si>
    <t>Private fire</t>
  </si>
  <si>
    <t>&gt;Totel metered water</t>
  </si>
  <si>
    <t>Unaccounted-for</t>
  </si>
  <si>
    <t>&gt;Total daily deliveries</t>
  </si>
  <si>
    <t>Water sold/water delivered</t>
  </si>
  <si>
    <t>Total daily % change</t>
  </si>
  <si>
    <t>Residential avg-day % change</t>
  </si>
  <si>
    <t>Res. avg-day per capita</t>
  </si>
  <si>
    <t>Res. avg-day per capita % change</t>
  </si>
  <si>
    <t>* Source: York Water Company Annual Reports to the PA PUC and the Department of Environmentl Protection.</t>
  </si>
  <si>
    <t>https://www.puc.pa.gov/pcdocs/1702598.pdf</t>
  </si>
  <si>
    <t>http://cedatareporting.pa.gov/Reportserver/Pages/ReportViewer.aspx?/Public/DEP/WUDS/SSRS/Water_Use_by_Water_Supplier</t>
  </si>
  <si>
    <t>34-Allocation factors for revenues under present rates (hypothetical)</t>
  </si>
  <si>
    <t>Public fire</t>
  </si>
  <si>
    <t>ALLOCATION FACTORS</t>
  </si>
  <si>
    <t>Customer</t>
  </si>
  <si>
    <t>Average day</t>
  </si>
  <si>
    <t>Peak hour</t>
  </si>
  <si>
    <t>Fire protection</t>
  </si>
  <si>
    <t>REVENUE ALLOCATION</t>
  </si>
  <si>
    <t>Source: IPU-MSU hypthetical construct. Excludes other revenues from Schedule 401 due to negative value for 2018 (tax refund effect).</t>
  </si>
  <si>
    <t>33-Functional allocation of plant and expenses</t>
  </si>
  <si>
    <t>Plant</t>
  </si>
  <si>
    <t>Operation</t>
  </si>
  <si>
    <t>Maintanence</t>
  </si>
  <si>
    <t>Op. Expense</t>
  </si>
  <si>
    <t>% Plant</t>
  </si>
  <si>
    <t>% Expense</t>
  </si>
  <si>
    <t>Transmission and Distribution Plant</t>
  </si>
  <si>
    <t>Source of Supply and Pumping Plant</t>
  </si>
  <si>
    <t>General Plant</t>
  </si>
  <si>
    <t>Intangible Plant</t>
  </si>
  <si>
    <t>Miscellaneous</t>
  </si>
  <si>
    <t>Administrative and General</t>
  </si>
  <si>
    <t>Purchases*</t>
  </si>
  <si>
    <t>Customer Accounts</t>
  </si>
  <si>
    <t>Insurance</t>
  </si>
  <si>
    <t>Rental and Transportation</t>
  </si>
  <si>
    <t xml:space="preserve">Source: York Water PUC Annual Report (2018), Schedules 201, 407, and 409. </t>
  </si>
  <si>
    <t>* Includes purchased water, purchased power, fuel for power production, chemicals, and materials and supplies</t>
  </si>
  <si>
    <t>35-Allocation of revenue increase by class</t>
  </si>
  <si>
    <t>Class</t>
  </si>
  <si>
    <t>Company &amp; OSBA</t>
  </si>
  <si>
    <t>OCA</t>
  </si>
  <si>
    <t>OCA %</t>
  </si>
  <si>
    <t>Settlement</t>
  </si>
  <si>
    <t>Settlement %</t>
  </si>
  <si>
    <t>&gt; Customer charge ($16.00)*</t>
  </si>
  <si>
    <t>&gt;TOTALS</t>
  </si>
  <si>
    <t>Source: York Water Settlement Agreement (2018). Does not include other revenues.</t>
  </si>
  <si>
    <t>* Settlement raises residential (5/8” meter) customer charge to $16.25 per month, with equivalent percentage increases to other classes.</t>
  </si>
  <si>
    <t xml:space="preserve">* Staff had recommended increasing the residential customer charge from $16.00 to $16.40. </t>
  </si>
  <si>
    <t>36-Rate case revenue detail</t>
  </si>
  <si>
    <t>Line. no.</t>
  </si>
  <si>
    <t>Revenues under present rates*</t>
  </si>
  <si>
    <t>Revenues and proposed rates</t>
  </si>
  <si>
    <t>Revenues under settlement rates</t>
  </si>
  <si>
    <t>Customer classification</t>
  </si>
  <si>
    <t>Amount (Sch. J)</t>
  </si>
  <si>
    <t>Amount (Sch. D)</t>
  </si>
  <si>
    <t>Percent increase</t>
  </si>
  <si>
    <t>Amount (Sch. K)</t>
  </si>
  <si>
    <t>Amt. of increase</t>
  </si>
  <si>
    <t>Residential gravity</t>
  </si>
  <si>
    <t>Residential repumped</t>
  </si>
  <si>
    <t>Commercial gravity</t>
  </si>
  <si>
    <t>Commercial repumped</t>
  </si>
  <si>
    <t>Industrial gravity</t>
  </si>
  <si>
    <t>Industrial repumped</t>
  </si>
  <si>
    <t>Private fire gravity</t>
  </si>
  <si>
    <t>Private fire repumped</t>
  </si>
  <si>
    <t>Public fire gravity</t>
  </si>
  <si>
    <t>Public fire repumped</t>
  </si>
  <si>
    <t>Total sales</t>
  </si>
  <si>
    <t>Other revenue</t>
  </si>
  <si>
    <t>Source: York Water Settlement Order Schedule C (2019).</t>
  </si>
  <si>
    <t>* Present base rate revenue from Schedule J (excludes DSIC and STAS surcharges).</t>
  </si>
  <si>
    <t>37-Water tariffs, rates, and bills</t>
  </si>
  <si>
    <t>Monthly Customer Charge</t>
  </si>
  <si>
    <t>2018 proposed</t>
  </si>
  <si>
    <t>2019 settlement</t>
  </si>
  <si>
    <t>GRAVITY rate per 1,000 gallons</t>
  </si>
  <si>
    <t xml:space="preserve">2014 Rate </t>
  </si>
  <si>
    <t>First 5,000</t>
  </si>
  <si>
    <t>Next 45,000</t>
  </si>
  <si>
    <t>Next 1,950,000</t>
  </si>
  <si>
    <t>Over 2,000,000</t>
  </si>
  <si>
    <t>2018 Proposed Rate</t>
  </si>
  <si>
    <t>2019 Settlement Rate</t>
  </si>
  <si>
    <t>REPUMPED rate per 1,000 gallons</t>
  </si>
  <si>
    <t>2018 Proposed Eate</t>
  </si>
  <si>
    <t>Wastewater Rates</t>
  </si>
  <si>
    <t>Rate structure</t>
  </si>
  <si>
    <t>Usage</t>
  </si>
  <si>
    <t>2018 settlement</t>
  </si>
  <si>
    <t>Asbury Pointe</t>
  </si>
  <si>
    <t>Flat</t>
  </si>
  <si>
    <t>Not applicable</t>
  </si>
  <si>
    <t>West York Borough</t>
  </si>
  <si>
    <t>Commercial/Ind.</t>
  </si>
  <si>
    <t>East Prospect &amp; Lower Windsor </t>
  </si>
  <si>
    <t>Metered</t>
  </si>
  <si>
    <t>1st 4,000 gal.</t>
  </si>
  <si>
    <t>Over 4,000 gal.</t>
  </si>
  <si>
    <t>$2.00/1,000 gal.</t>
  </si>
  <si>
    <t>$2.50/1,000 gal.</t>
  </si>
  <si>
    <t>Residential Bill Calculation</t>
  </si>
  <si>
    <t>Gravity</t>
  </si>
  <si>
    <t>Repumped</t>
  </si>
  <si>
    <t>Prior rates (2014)</t>
  </si>
  <si>
    <t>Monthly bill for 3,000 gallons</t>
  </si>
  <si>
    <t>Monthly bill for 6,000 gallons</t>
  </si>
  <si>
    <t>Proposed rates (2018)</t>
  </si>
  <si>
    <t>Settlement rates (2019)</t>
  </si>
  <si>
    <t>Percentage increase (2014-2019)</t>
  </si>
  <si>
    <t>Source: York Water Company Tariffs and Settlement.</t>
  </si>
  <si>
    <t>38-Pennsylvania bill comparison (PA-OCA, 2018)</t>
  </si>
  <si>
    <t>Water Utility (5/8")</t>
  </si>
  <si>
    <t>3000 gal.</t>
  </si>
  <si>
    <t>6000 gal.</t>
  </si>
  <si>
    <t>3,000 quarterly</t>
  </si>
  <si>
    <t>6,000 quarterly</t>
  </si>
  <si>
    <t xml:space="preserve">  </t>
  </si>
  <si>
    <t>Township of Falls</t>
  </si>
  <si>
    <t>Borough of Chambersburg</t>
  </si>
  <si>
    <t>Aldick Associates</t>
  </si>
  <si>
    <t>Appalachian Utilities, Inc.</t>
  </si>
  <si>
    <t>Borough of Ambler</t>
  </si>
  <si>
    <t>United Water Bethel</t>
  </si>
  <si>
    <t>Quentin Water Co.</t>
  </si>
  <si>
    <t>Hanover Municipal Water Works</t>
  </si>
  <si>
    <t>Bethlehem, City of</t>
  </si>
  <si>
    <t>Clarendon Water Co.</t>
  </si>
  <si>
    <t>Newtow Newtown Artesian Area</t>
  </si>
  <si>
    <t>Columbia Water Co. Marietta Div.</t>
  </si>
  <si>
    <t xml:space="preserve">Newtown Indian Rock Area </t>
  </si>
  <si>
    <t>*PAWC Zone 3</t>
  </si>
  <si>
    <t>Sugarcreek Water Co.</t>
  </si>
  <si>
    <t>*PAWC Zone 40</t>
  </si>
  <si>
    <t>YORK WATER CO. (gravity)</t>
  </si>
  <si>
    <t>Utilities, Inc. Westgate</t>
  </si>
  <si>
    <t>York Water Co. (gravity 2019)</t>
  </si>
  <si>
    <t>Valley Run Water Co.</t>
  </si>
  <si>
    <t>Houston Run Comm. Water System</t>
  </si>
  <si>
    <t>Robin Hood Lakes Water Co.</t>
  </si>
  <si>
    <t>*PAWC Zone 47</t>
  </si>
  <si>
    <t>West Hickory Water Co.</t>
  </si>
  <si>
    <t>Cooperstown Water Co.</t>
  </si>
  <si>
    <t>*PAWC Zone 46</t>
  </si>
  <si>
    <t>*PAWC Zone 41</t>
  </si>
  <si>
    <t>Olwen Heights Water Service Co.</t>
  </si>
  <si>
    <t>Columbia Water Co.</t>
  </si>
  <si>
    <t>Venango Water Co.</t>
  </si>
  <si>
    <t>*Aqua PA Clarendon Water Div.</t>
  </si>
  <si>
    <t>*Aqua PA Honesdale Div.</t>
  </si>
  <si>
    <t>*Aqua PA Kratzerville Div.</t>
  </si>
  <si>
    <t>*PAWC Zone 44</t>
  </si>
  <si>
    <t>*Aqua PA Bensalem Div.</t>
  </si>
  <si>
    <t>*PAWC Zone 2 except Nittany</t>
  </si>
  <si>
    <t>*Aqua PA Main Div.</t>
  </si>
  <si>
    <t>Superior Water Co.</t>
  </si>
  <si>
    <t>*PAWC Zone 1</t>
  </si>
  <si>
    <t>TriValley Water Supply, Inc.</t>
  </si>
  <si>
    <t>Emporium Water Co.</t>
  </si>
  <si>
    <t>Twin Lakes Utilities</t>
  </si>
  <si>
    <t>Fryburg Water Co.</t>
  </si>
  <si>
    <t>Plumer Water Co.</t>
  </si>
  <si>
    <t>Source: http://www.oca.state.pa.us/industry/water/Water%20Rates%20Calculator%20for%20OCA%20Website%20(00224158x97486).xlsx</t>
  </si>
  <si>
    <t>Note: rates and bills are subject to change.</t>
  </si>
  <si>
    <t>39-Pennsylvania bill calculator (PA-OCA, 2018)</t>
  </si>
  <si>
    <t>Water Company Name</t>
  </si>
  <si>
    <t>Cust. Charge</t>
  </si>
  <si>
    <t>Vol. Charge - 1</t>
  </si>
  <si>
    <t>Vol. Charge - 2</t>
  </si>
  <si>
    <t>Vol. Charge - 3</t>
  </si>
  <si>
    <t>Vol. Charge - 4</t>
  </si>
  <si>
    <t>Block 1</t>
  </si>
  <si>
    <t>Block 2</t>
  </si>
  <si>
    <t>Block 3</t>
  </si>
  <si>
    <t>Cost of Full First Block</t>
  </si>
  <si>
    <t>Cost of Full Second Block</t>
  </si>
  <si>
    <t>Cost of Full Third Block</t>
  </si>
  <si>
    <t>Cost of Partial 2nd Block</t>
  </si>
  <si>
    <t>Cost of Partial 3rd Block</t>
  </si>
  <si>
    <t>Cost of Partial 4th Block</t>
  </si>
  <si>
    <t>Cost if only first Block</t>
  </si>
  <si>
    <t>Cost when Gallonage Exceeds 1st Block</t>
  </si>
  <si>
    <t>Cost when Gallonage Exceeds 2nd Block</t>
  </si>
  <si>
    <t>Cost when Gallonage Exceeds 3rd Block</t>
  </si>
  <si>
    <t>Total Bill (Monthly)</t>
  </si>
  <si>
    <t>Total Bill (Quarterly)</t>
  </si>
  <si>
    <t>Select from drop-down list.</t>
  </si>
  <si>
    <t xml:space="preserve">Utility </t>
  </si>
  <si>
    <t>Updated</t>
  </si>
  <si>
    <t>York Water Company (5/8")</t>
  </si>
  <si>
    <t>Acorn Water Company</t>
  </si>
  <si>
    <t>Aldick Associates (5/8")</t>
  </si>
  <si>
    <t>Added 3/14/16</t>
  </si>
  <si>
    <t>Number of Gallons per Month</t>
  </si>
  <si>
    <t>Ambler, Borough of (3/4")</t>
  </si>
  <si>
    <t xml:space="preserve">If billed quarterly, divide your quarterly gallons by three. </t>
  </si>
  <si>
    <t>Ambler, Borough of (5/8")</t>
  </si>
  <si>
    <t>Appalachian Utilities, Inc. (3/4")***</t>
  </si>
  <si>
    <t xml:space="preserve">Gallons per Quarter                  </t>
  </si>
  <si>
    <t>Appalachian Utilities, Inc. (5/8")***</t>
  </si>
  <si>
    <t>Aqua PA - Bensalem Division (3/4")</t>
  </si>
  <si>
    <t>(fills in automatically)</t>
  </si>
  <si>
    <t>Aqua PA - Bensalem Division (5/8")</t>
  </si>
  <si>
    <t>Aqua PA - Chalfont Division</t>
  </si>
  <si>
    <t>Aqua PA - Clarendon Water Division (3/4")</t>
  </si>
  <si>
    <t>Aqua PA - Clarendon Water Division (5/8")</t>
  </si>
  <si>
    <t>Notes:</t>
  </si>
  <si>
    <t>Aqua PA - Country Club Gardens Division</t>
  </si>
  <si>
    <t>Aqua PA - CS Water Division</t>
  </si>
  <si>
    <t xml:space="preserve">*Company measures usage in cubic feet. The price shown reflects a conversion to gallons. If your bill shows usage in cubic feet, convert the number of cubic feet to gallons by multiplying the number of cubic feet by 7.48052. </t>
  </si>
  <si>
    <t>Aqua PA - Eagle Rock Division</t>
  </si>
  <si>
    <t>Aqua PA - Fawn Lake Division</t>
  </si>
  <si>
    <t>Aqua PA - Honesdale Division (5/8")</t>
  </si>
  <si>
    <t>Aqua PA - Honesdale Division(3/4")</t>
  </si>
  <si>
    <t xml:space="preserve">**Rate for unmetered service. Bill is a flat rate regardless of the number of gallons used. </t>
  </si>
  <si>
    <t>Aqua PA - Kratzerville Division (3/4")</t>
  </si>
  <si>
    <t>Aqua PA - Kratzerville Division (5/8")</t>
  </si>
  <si>
    <t xml:space="preserve">***Company bills bi-monthly. Monthly rate shown is the bi-monthly charge divided by two. </t>
  </si>
  <si>
    <t>Aqua PA - Lakeside Acres Division</t>
  </si>
  <si>
    <t>Aqua PA - Main Division (3/4")</t>
  </si>
  <si>
    <t xml:space="preserve">Rates shown do not include state tax adjustment surcharges (STAS), distribution system improvement charges (DSIC) or purchased water adjustments. Please contact the OCA for questions about the rates shown in this calculator. </t>
  </si>
  <si>
    <t>Aqua PA - Main Division (5/8")</t>
  </si>
  <si>
    <t>Aqua PA - Mifflin Township Division</t>
  </si>
  <si>
    <t>Aqua PA - Oakland Beach Division</t>
  </si>
  <si>
    <t>Aqua PA - Pinecrest Division</t>
  </si>
  <si>
    <t xml:space="preserve">Not all PA water companies are included in this calculator. Companies not included will be added in the future. If your company is not listed, please contact the OCA for assistance with calculating a utility bill. </t>
  </si>
  <si>
    <t>Aqua PA - Sand Springs Division</t>
  </si>
  <si>
    <t>Aqua PA - Tanglewood Divison</t>
  </si>
  <si>
    <t>Aqua PA - Thornhurst Division</t>
  </si>
  <si>
    <t xml:space="preserve">Aqua PA - Western Division </t>
  </si>
  <si>
    <r>
      <t xml:space="preserve">Rates shown for municipalities (cities, boroughs, etc.) are rates for customers under PUC jurisdiction; which generally includes customers who live </t>
    </r>
    <r>
      <rPr>
        <i/>
        <sz val="11"/>
        <color theme="1"/>
        <rFont val="Times New Roman"/>
        <family val="1"/>
      </rPr>
      <t>outside</t>
    </r>
    <r>
      <rPr>
        <sz val="11"/>
        <color theme="1"/>
        <rFont val="Times New Roman"/>
        <family val="1"/>
      </rPr>
      <t xml:space="preserve"> of the munipal boundaries. </t>
    </r>
  </si>
  <si>
    <t>Aqua PA - Woodledge Division</t>
  </si>
  <si>
    <t>Artesian Water Pennsylvania</t>
  </si>
  <si>
    <t>Audubon Water Company</t>
  </si>
  <si>
    <t>Bethlehem, City of (3/4")</t>
  </si>
  <si>
    <t>Bethlehem, City of (5/8")</t>
  </si>
  <si>
    <t>Blue Knob Water Company</t>
  </si>
  <si>
    <t>Buck Hill Water Company (3/4 inch or less)</t>
  </si>
  <si>
    <t>Chambersburg, Borough of (5/8" or 3/4")</t>
  </si>
  <si>
    <t>Clarendon Water Company (3/4")</t>
  </si>
  <si>
    <t>Clarendon Water Company (5/8")</t>
  </si>
  <si>
    <t>Columbia Water Company - Marietta Division (3/4")</t>
  </si>
  <si>
    <t>Columbia Water Company - Marietta Division (5/8")</t>
  </si>
  <si>
    <t>Columbia Water Company (3/4")</t>
  </si>
  <si>
    <t>Columbia Water Company (5/8")</t>
  </si>
  <si>
    <t>David and Diane Miller's Water Company</t>
  </si>
  <si>
    <t>Deer Haven Water Company**</t>
  </si>
  <si>
    <t>Doylestown, Borough of</t>
  </si>
  <si>
    <t>D's Water Company (3/4")</t>
  </si>
  <si>
    <t>Dubois, City of</t>
  </si>
  <si>
    <t>Duncannon, Borough of</t>
  </si>
  <si>
    <t>Eaton Sewer &amp; Water Co., Inc.</t>
  </si>
  <si>
    <t>Elverson Water Company (3/4")</t>
  </si>
  <si>
    <t>Emporium Water Company (3/4")*</t>
  </si>
  <si>
    <t>Emporium Water Company (5/8")*</t>
  </si>
  <si>
    <t>Factoryville Bunker Hill Water Company (3/4")</t>
  </si>
  <si>
    <t xml:space="preserve">Fairchance, Borough of </t>
  </si>
  <si>
    <t>Finch Hill Water Company, Inc**</t>
  </si>
  <si>
    <t>Fryburg Water Company (3/4")</t>
  </si>
  <si>
    <t>Fryburg Water Company (5/8")</t>
  </si>
  <si>
    <t>Garrett, Borough of**</t>
  </si>
  <si>
    <t>Hanover Municipal Water Works (3/4")</t>
  </si>
  <si>
    <t>Hanover Municipal Water Works (5/8")</t>
  </si>
  <si>
    <t>Hidden Valley Utility Services</t>
  </si>
  <si>
    <t>Hotel Capri  Inc.**</t>
  </si>
  <si>
    <t>Houston Run Community Water System (3/4")</t>
  </si>
  <si>
    <t>Houston Run Community Water System (5/8")</t>
  </si>
  <si>
    <t>Hyndman Borough Water Company</t>
  </si>
  <si>
    <t>Hyndman Borough Water Company (unmetered)</t>
  </si>
  <si>
    <t>Imperial Point Water Service Company (3/4")</t>
  </si>
  <si>
    <t>Ken Man Water Company</t>
  </si>
  <si>
    <t>Kensington Water Company</t>
  </si>
  <si>
    <t>Added 3/15/16</t>
  </si>
  <si>
    <t>Lancaster Water, City of</t>
  </si>
  <si>
    <t>Lewis Run Water Supply Company**</t>
  </si>
  <si>
    <t xml:space="preserve">Manwalamink Water Company </t>
  </si>
  <si>
    <t>McCormick Water Company</t>
  </si>
  <si>
    <t>Meribah Water Company</t>
  </si>
  <si>
    <t>Needmore Water Supply Company</t>
  </si>
  <si>
    <t>Newtown Artesian Water Company: Indian Rock Rate Area (3/4")</t>
  </si>
  <si>
    <t>Newtown Artesian Water Company: Indian Rock Rate Area (5/8")</t>
  </si>
  <si>
    <t>Newtown Artesian Water Company: Newtown Artesian Rate Area (3/4")</t>
  </si>
  <si>
    <t>Newtown Artesian Water Company: Newtown Artesian Rate Area (5/8")</t>
  </si>
  <si>
    <t>Olwen Heights Water Service Co. (5/8")</t>
  </si>
  <si>
    <t>Orchard Hills Water System/ Vantage Hills Development</t>
  </si>
  <si>
    <t>Oregon Hill Water and Sewer Company, Inc.**</t>
  </si>
  <si>
    <t>PAWC Zone 1 (3/4")</t>
  </si>
  <si>
    <t>PAWC Zone 1 (5/8")</t>
  </si>
  <si>
    <t>PAWC Zone 1 (unmetered)**</t>
  </si>
  <si>
    <t>PAWC Zone 40 (3/4")</t>
  </si>
  <si>
    <t>PAWC Zone 40 (5/8")</t>
  </si>
  <si>
    <t>PAWC Zone 41 (3/4")</t>
  </si>
  <si>
    <t>PAWC Zone 41 (5/8")</t>
  </si>
  <si>
    <t>PAWC Zone 44 (5/8")</t>
  </si>
  <si>
    <t>PAWC Zone 44 (unmetered)**</t>
  </si>
  <si>
    <t>PAWC Zone 46 (5/8")</t>
  </si>
  <si>
    <t>PAWC Zone 46 Summer Customers**</t>
  </si>
  <si>
    <t>PAWC Zone 46 Winter Customers**</t>
  </si>
  <si>
    <t>PAWC Zone 47 (3/4")</t>
  </si>
  <si>
    <t>PAWC Zone 47 (5/8")</t>
  </si>
  <si>
    <t>PAWC Zone 50 (3/4", Acquisitions)</t>
  </si>
  <si>
    <t>PAWC Zone 50 (5/8", Acquisitions)</t>
  </si>
  <si>
    <t>PAWC Zone 50 (unmetered)**</t>
  </si>
  <si>
    <t>PAWC Zone 51</t>
  </si>
  <si>
    <t>PAWC Zone 52</t>
  </si>
  <si>
    <t>Penn Estates Utilities Inc.</t>
  </si>
  <si>
    <t>Pennsview Water Company</t>
  </si>
  <si>
    <t>Pennsylvania Utility Company</t>
  </si>
  <si>
    <t>Plumer Water Company (3/4")</t>
  </si>
  <si>
    <t>Plumer Water Company (5/8")</t>
  </si>
  <si>
    <t>Pocono Waterworks Company, Inc.</t>
  </si>
  <si>
    <t>Pocono Waterworks Company, Inc. - Pine Grove Estates Division</t>
  </si>
  <si>
    <t>Pocono Waterworks Company, Inc. - Pine Grove Estates Division (unmetered)**</t>
  </si>
  <si>
    <t>Point Marion, Borough of</t>
  </si>
  <si>
    <t xml:space="preserve">Quakertown, Borough of </t>
  </si>
  <si>
    <t>Quentin Water Company (5/8" &amp; 3/4")</t>
  </si>
  <si>
    <t>Robin Hood Lakes Water Company (5/8" &amp; 3/4")</t>
  </si>
  <si>
    <t>Rock Spring Water Company</t>
  </si>
  <si>
    <t>Schoolhouse Village</t>
  </si>
  <si>
    <t>Schuylkill Haven, Borough of</t>
  </si>
  <si>
    <t>Scott Water Company**</t>
  </si>
  <si>
    <t>Start Properties II, LLC**</t>
  </si>
  <si>
    <t>Sugarcreek Water Company (5/8" &amp; 3/4")</t>
  </si>
  <si>
    <t>Superior Water Company (5/8" &amp; 3/4")</t>
  </si>
  <si>
    <t>Templeton Water Company**</t>
  </si>
  <si>
    <t>Total Environmental Solutions, Inc</t>
  </si>
  <si>
    <t>Township of Falls (3/4")</t>
  </si>
  <si>
    <t>Township of Falls (5/8")</t>
  </si>
  <si>
    <t>Tri-Valley Water Supply, Inc (5/8")</t>
  </si>
  <si>
    <t>Twin Lakes Utilities (3/4")</t>
  </si>
  <si>
    <t>Twin Lakes Utilities (5/8")</t>
  </si>
  <si>
    <t>Twin Lakes Utilities (unmetered)**</t>
  </si>
  <si>
    <t>United Water Bethel (3/4")</t>
  </si>
  <si>
    <t>United Water Bethel (5/8")</t>
  </si>
  <si>
    <t>United Water Pennsylvania</t>
  </si>
  <si>
    <t>Utilities, Inc. - Westgate (3/4")</t>
  </si>
  <si>
    <t>Utilities, Inc. - Westgate (5/8")</t>
  </si>
  <si>
    <t>Valley Run Water Company, Inc. (5/8" &amp; 3/4")</t>
  </si>
  <si>
    <t>Valley View Water Company, Inc.</t>
  </si>
  <si>
    <t>Venango Water Company (3/4")</t>
  </si>
  <si>
    <t>Venango Water Company (5/8")</t>
  </si>
  <si>
    <t>Waterflow Pike, Inc.**</t>
  </si>
  <si>
    <t>West Hickory Water Company (3/4")</t>
  </si>
  <si>
    <t>West Hickory Water Company (5/8")</t>
  </si>
  <si>
    <t>Williamsburg, Borough of</t>
  </si>
  <si>
    <t>Wonderview Water Company</t>
  </si>
  <si>
    <t>York Water Company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</si>
</sst>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quot;$&quot;#,##0.00"/>
    <numFmt numFmtId="167" formatCode="&quot;$&quot;#,##0"/>
    <numFmt numFmtId="168" formatCode="_(* #,##0_);_(* \(#,##0\);_(* &quot;-&quot;??_);_(@_)"/>
    <numFmt numFmtId="169" formatCode="0.0%"/>
    <numFmt numFmtId="170" formatCode="_(* #,##0.0000_);_(* \(#,##0.0000\);_(* &quot;-&quot;??_);_(@_)"/>
    <numFmt numFmtId="171" formatCode="_(* #,##0.000_);_(* \(#,##0.000\);_(* &quot;-&quot;??_);_(@_)"/>
    <numFmt numFmtId="172" formatCode="0.0"/>
    <numFmt numFmtId="173" formatCode="m/d/yy;@"/>
    <numFmt numFmtId="174" formatCode="_(* #,##0.0000_);_(* \(#,##0.0000\);_(* &quot;-&quot;????_);_(@_)"/>
    <numFmt numFmtId="175" formatCode="0.0000"/>
    <numFmt numFmtId="176" formatCode="_-* #,##0_-;\-* #,##0_-;_-* &quot;-&quot;??_-;_-@_-"/>
    <numFmt numFmtId="177" formatCode="#,##0.0000"/>
    <numFmt numFmtId="178" formatCode="&quot;$&quot;#,##0.0000_);[Red]\(&quot;$&quot;#,##0.0000\)"/>
    <numFmt numFmtId="179" formatCode="&quot;$&quot;#,##0.0000"/>
    <numFmt numFmtId="180" formatCode="0.000"/>
    <numFmt numFmtId="181" formatCode="0.00000000"/>
    <numFmt numFmtId="182" formatCode="mm/dd/yy;@"/>
    <numFmt numFmtId="183" formatCode="0.000%"/>
    <numFmt numFmtId="184" formatCode="#,##0.0_);\(#,##0.0\)"/>
  </numFmts>
  <fonts count="49" x14ac:knownFonts="1">
    <font>
      <sz val="11"/>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sz val="10"/>
      <color rgb="FF000000"/>
      <name val="Times New Roman"/>
      <family val="1"/>
    </font>
    <font>
      <sz val="10"/>
      <color rgb="FFFF0000"/>
      <name val="Times New Roman"/>
      <family val="1"/>
    </font>
    <font>
      <sz val="10"/>
      <color theme="1"/>
      <name val="Times New Roman"/>
      <family val="1"/>
    </font>
    <font>
      <sz val="11"/>
      <color theme="1"/>
      <name val="Calibri"/>
      <family val="2"/>
      <scheme val="minor"/>
    </font>
    <font>
      <sz val="11"/>
      <color theme="1"/>
      <name val="Times New Roman"/>
      <family val="1"/>
    </font>
    <font>
      <sz val="10"/>
      <name val="Times New Roman"/>
      <family val="1"/>
    </font>
    <font>
      <sz val="20"/>
      <color theme="1"/>
      <name val="Times New Roman"/>
      <family val="1"/>
    </font>
    <font>
      <sz val="20"/>
      <color theme="4" tint="-0.249977111117893"/>
      <name val="Times New Roman"/>
      <family val="1"/>
    </font>
    <font>
      <sz val="8"/>
      <name val="Calibri"/>
      <family val="2"/>
      <scheme val="minor"/>
    </font>
    <font>
      <sz val="12"/>
      <name val="Times New Roman"/>
      <family val="1"/>
    </font>
    <font>
      <b/>
      <sz val="10"/>
      <color theme="1"/>
      <name val="Times New Roman"/>
      <family val="1"/>
    </font>
    <font>
      <sz val="10"/>
      <color theme="1"/>
      <name val="Calibri"/>
      <family val="2"/>
      <scheme val="minor"/>
    </font>
    <font>
      <sz val="20"/>
      <color theme="8" tint="-0.499984740745262"/>
      <name val="Times New Roman"/>
      <family val="1"/>
    </font>
    <font>
      <sz val="10"/>
      <color theme="8" tint="-0.499984740745262"/>
      <name val="Times New Roman"/>
      <family val="1"/>
    </font>
    <font>
      <b/>
      <sz val="14"/>
      <color theme="1"/>
      <name val="Times New Roman"/>
      <family val="1"/>
    </font>
    <font>
      <b/>
      <sz val="11"/>
      <color theme="1"/>
      <name val="Times New Roman"/>
      <family val="1"/>
    </font>
    <font>
      <i/>
      <sz val="12"/>
      <name val="Times New Roman"/>
      <family val="1"/>
    </font>
    <font>
      <sz val="14"/>
      <color theme="1"/>
      <name val="Times New Roman"/>
      <family val="1"/>
    </font>
    <font>
      <sz val="18"/>
      <color theme="1"/>
      <name val="Times New Roman"/>
      <family val="1"/>
    </font>
    <font>
      <i/>
      <sz val="11"/>
      <color theme="1"/>
      <name val="Times New Roman"/>
      <family val="1"/>
    </font>
    <font>
      <sz val="11"/>
      <name val="Times New Roman"/>
      <family val="1"/>
    </font>
    <font>
      <sz val="11"/>
      <color rgb="FFFF0000"/>
      <name val="Calibri"/>
      <family val="2"/>
      <scheme val="minor"/>
    </font>
    <font>
      <sz val="20"/>
      <color rgb="FFFF0000"/>
      <name val="Times New Roman"/>
      <family val="1"/>
    </font>
    <font>
      <sz val="11"/>
      <color rgb="FFFF0000"/>
      <name val="Times New Roman"/>
      <family val="1"/>
    </font>
    <font>
      <sz val="11"/>
      <color rgb="FF000000"/>
      <name val="Times New Roman"/>
      <family val="1"/>
    </font>
    <font>
      <sz val="16"/>
      <color rgb="FFFF0000"/>
      <name val="Times New Roman"/>
      <family val="1"/>
    </font>
    <font>
      <sz val="20"/>
      <color rgb="FF000000"/>
      <name val="Times New Roman"/>
      <family val="1"/>
    </font>
    <font>
      <sz val="10"/>
      <color rgb="FF203764"/>
      <name val="Times New Roman"/>
      <family val="1"/>
    </font>
    <font>
      <sz val="20"/>
      <color rgb="FF203764"/>
      <name val="Times New Roman"/>
      <family val="1"/>
    </font>
    <font>
      <sz val="11"/>
      <color rgb="FF203764"/>
      <name val="Times New Roman"/>
      <family val="1"/>
    </font>
    <font>
      <u/>
      <sz val="11"/>
      <color theme="10"/>
      <name val="Times New Roman"/>
      <family val="1"/>
    </font>
    <font>
      <sz val="10"/>
      <color theme="4" tint="-0.249977111117893"/>
      <name val="Times New Roman"/>
      <family val="1"/>
    </font>
    <font>
      <sz val="20"/>
      <color rgb="FF1F4E78"/>
      <name val="Times New Roman"/>
      <family val="1"/>
    </font>
    <font>
      <sz val="10"/>
      <color theme="1"/>
      <name val="Times"/>
      <family val="1"/>
    </font>
    <font>
      <sz val="12"/>
      <color theme="1"/>
      <name val="Times New Roman"/>
      <family val="1"/>
    </font>
    <font>
      <sz val="11"/>
      <color theme="10"/>
      <name val="Times New Roman"/>
      <family val="1"/>
    </font>
    <font>
      <sz val="14"/>
      <color rgb="FFFF0000"/>
      <name val="Times New Roman"/>
      <family val="1"/>
    </font>
    <font>
      <b/>
      <sz val="10"/>
      <color rgb="FF000000"/>
      <name val="Times New Roman"/>
      <family val="1"/>
    </font>
    <font>
      <sz val="18"/>
      <color rgb="FF7F7F7F"/>
      <name val="Wingdings"/>
      <charset val="2"/>
    </font>
    <font>
      <sz val="10.4"/>
      <color rgb="FF7F7F7F"/>
      <name val="Wingdings 3"/>
      <family val="1"/>
      <charset val="2"/>
    </font>
    <font>
      <u/>
      <sz val="10"/>
      <color theme="10"/>
      <name val="Calibri"/>
      <family val="2"/>
      <scheme val="minor"/>
    </font>
    <font>
      <b/>
      <sz val="10"/>
      <color theme="1"/>
      <name val="Calibri"/>
      <family val="2"/>
      <scheme val="minor"/>
    </font>
    <font>
      <sz val="10"/>
      <color rgb="FFFF0000"/>
      <name val="Calibri"/>
      <family val="2"/>
    </font>
    <font>
      <sz val="10"/>
      <color rgb="FF000000"/>
      <name val="Times New Roman"/>
      <family val="1"/>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66FF"/>
        <bgColor indexed="64"/>
      </patternFill>
    </fill>
    <fill>
      <patternFill patternType="solid">
        <fgColor rgb="FF00B05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E2EFDA"/>
        <bgColor indexed="64"/>
      </patternFill>
    </fill>
    <fill>
      <patternFill patternType="solid">
        <fgColor rgb="FFE7E6E6"/>
        <bgColor indexed="64"/>
      </patternFill>
    </fill>
    <fill>
      <patternFill patternType="solid">
        <fgColor rgb="FFFFF2CC"/>
        <bgColor indexed="64"/>
      </patternFill>
    </fill>
    <fill>
      <patternFill patternType="solid">
        <fgColor rgb="FFF2F2F2"/>
        <bgColor indexed="64"/>
      </patternFill>
    </fill>
    <fill>
      <patternFill patternType="solid">
        <fgColor rgb="FFD6DCE4"/>
        <bgColor indexed="64"/>
      </patternFill>
    </fill>
    <fill>
      <patternFill patternType="solid">
        <fgColor rgb="FFD9E1F2"/>
        <bgColor indexed="64"/>
      </patternFill>
    </fill>
    <fill>
      <patternFill patternType="solid">
        <fgColor rgb="FFF2F2F2"/>
        <bgColor rgb="FF000000"/>
      </patternFill>
    </fill>
  </fills>
  <borders count="3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style="thin">
        <color theme="0" tint="-0.499984740745262"/>
      </right>
      <top style="thin">
        <color indexed="64"/>
      </top>
      <bottom style="double">
        <color indexed="64"/>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double">
        <color rgb="FF000000"/>
      </bottom>
      <diagonal/>
    </border>
    <border>
      <left style="thin">
        <color theme="0" tint="-0.499984740745262"/>
      </left>
      <right style="thin">
        <color theme="0" tint="-0.499984740745262"/>
      </right>
      <top style="thin">
        <color theme="0" tint="-0.499984740745262"/>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theme="0" tint="-0.499984740745262"/>
      </left>
      <right/>
      <top style="thin">
        <color theme="0" tint="-0.499984740745262"/>
      </top>
      <bottom style="thin">
        <color theme="0" tint="-0.499984740745262"/>
      </bottom>
      <diagonal/>
    </border>
    <border>
      <left style="thin">
        <color rgb="FF000000"/>
      </left>
      <right style="thin">
        <color rgb="FF000000"/>
      </right>
      <top style="thin">
        <color rgb="FF000000"/>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double">
        <color rgb="FF000000"/>
      </bottom>
      <diagonal/>
    </border>
    <border>
      <left style="thin">
        <color theme="0" tint="-0.499984740745262"/>
      </left>
      <right style="thin">
        <color theme="0" tint="-0.499984740745262"/>
      </right>
      <top style="thin">
        <color rgb="FF000000"/>
      </top>
      <bottom style="double">
        <color rgb="FF000000"/>
      </bottom>
      <diagonal/>
    </border>
    <border>
      <left/>
      <right style="thin">
        <color theme="0" tint="-0.499984740745262"/>
      </right>
      <top style="thin">
        <color theme="0" tint="-0.499984740745262"/>
      </top>
      <bottom style="double">
        <color rgb="FF000000"/>
      </bottom>
      <diagonal/>
    </border>
    <border>
      <left/>
      <right style="thin">
        <color theme="0" tint="-0.499984740745262"/>
      </right>
      <top style="thin">
        <color theme="0" tint="-0.499984740745262"/>
      </top>
      <bottom style="thin">
        <color rgb="FF000000"/>
      </bottom>
      <diagonal/>
    </border>
    <border>
      <left style="medium">
        <color rgb="FF000000"/>
      </left>
      <right style="medium">
        <color rgb="FF000000"/>
      </right>
      <top style="medium">
        <color rgb="FF000000"/>
      </top>
      <bottom style="double">
        <color rgb="FF000000"/>
      </bottom>
      <diagonal/>
    </border>
    <border>
      <left style="thin">
        <color theme="0" tint="-0.499984740745262"/>
      </left>
      <right/>
      <top style="thin">
        <color theme="0" tint="-0.499984740745262"/>
      </top>
      <bottom/>
      <diagonal/>
    </border>
    <border>
      <left style="thin">
        <color rgb="FF808080"/>
      </left>
      <right style="thin">
        <color rgb="FF808080"/>
      </right>
      <top/>
      <bottom style="thin">
        <color rgb="FF808080"/>
      </bottom>
      <diagonal/>
    </border>
    <border>
      <left style="thin">
        <color rgb="FF000000"/>
      </left>
      <right/>
      <top/>
      <bottom style="double">
        <color rgb="FF000000"/>
      </bottom>
      <diagonal/>
    </border>
  </borders>
  <cellStyleXfs count="45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5" fontId="8"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4" fontId="1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1" fillId="0" borderId="0"/>
    <xf numFmtId="164"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7" fontId="14" fillId="0" borderId="0"/>
    <xf numFmtId="43" fontId="10" fillId="0" borderId="0" applyFont="0" applyFill="0" applyBorder="0" applyAlignment="0" applyProtection="0"/>
    <xf numFmtId="10" fontId="10"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783">
    <xf numFmtId="0" fontId="0" fillId="0" borderId="0" xfId="0"/>
    <xf numFmtId="0" fontId="7" fillId="0" borderId="0" xfId="0" applyFont="1" applyAlignment="1">
      <alignment vertical="center"/>
    </xf>
    <xf numFmtId="0" fontId="7" fillId="0" borderId="0" xfId="0" applyFont="1" applyAlignment="1">
      <alignment horizontal="center" vertical="center"/>
    </xf>
    <xf numFmtId="0" fontId="7" fillId="0" borderId="0" xfId="66" applyFont="1" applyAlignment="1">
      <alignment vertical="center"/>
    </xf>
    <xf numFmtId="0" fontId="9" fillId="0" borderId="0" xfId="66" applyFont="1" applyAlignment="1">
      <alignment vertical="center"/>
    </xf>
    <xf numFmtId="0" fontId="0" fillId="0" borderId="0" xfId="0" applyAlignment="1">
      <alignment vertical="center"/>
    </xf>
    <xf numFmtId="0" fontId="5" fillId="0" borderId="0" xfId="0" applyFont="1" applyAlignment="1">
      <alignment vertical="center"/>
    </xf>
    <xf numFmtId="0" fontId="6" fillId="0" borderId="0" xfId="0" applyFont="1" applyAlignment="1">
      <alignment vertical="center"/>
    </xf>
    <xf numFmtId="0" fontId="11" fillId="0" borderId="0" xfId="0" applyFont="1" applyAlignment="1">
      <alignment vertical="center"/>
    </xf>
    <xf numFmtId="0" fontId="7" fillId="0" borderId="0" xfId="63" applyFont="1" applyAlignment="1">
      <alignment vertical="center"/>
    </xf>
    <xf numFmtId="167" fontId="7" fillId="0" borderId="0" xfId="0" applyNumberFormat="1" applyFont="1" applyAlignment="1">
      <alignment vertical="center"/>
    </xf>
    <xf numFmtId="0" fontId="7" fillId="0" borderId="0" xfId="306" applyFont="1" applyAlignment="1">
      <alignment vertical="center"/>
    </xf>
    <xf numFmtId="0" fontId="12" fillId="0" borderId="0" xfId="306" applyFont="1" applyAlignment="1">
      <alignment vertical="center"/>
    </xf>
    <xf numFmtId="0" fontId="7" fillId="0" borderId="0" xfId="0" applyFont="1"/>
    <xf numFmtId="172" fontId="7" fillId="0" borderId="0" xfId="0" applyNumberFormat="1" applyFont="1" applyAlignment="1">
      <alignment horizontal="center" vertical="center"/>
    </xf>
    <xf numFmtId="172" fontId="7" fillId="0" borderId="1" xfId="0" applyNumberFormat="1" applyFont="1" applyBorder="1" applyAlignment="1">
      <alignment horizontal="center" vertical="center"/>
    </xf>
    <xf numFmtId="172" fontId="12" fillId="0" borderId="0" xfId="0" applyNumberFormat="1" applyFont="1" applyAlignment="1">
      <alignment horizontal="center" vertical="center"/>
    </xf>
    <xf numFmtId="2" fontId="7" fillId="0" borderId="1" xfId="0" applyNumberFormat="1" applyFont="1" applyBorder="1" applyAlignment="1">
      <alignment vertical="center"/>
    </xf>
    <xf numFmtId="1" fontId="7" fillId="0" borderId="1" xfId="0" applyNumberFormat="1" applyFont="1" applyBorder="1" applyAlignment="1">
      <alignment horizontal="center" vertical="center"/>
    </xf>
    <xf numFmtId="0" fontId="17" fillId="0" borderId="0" xfId="0" applyFont="1" applyAlignment="1">
      <alignment vertical="center"/>
    </xf>
    <xf numFmtId="0" fontId="18" fillId="0" borderId="0" xfId="0" applyFont="1" applyAlignment="1">
      <alignment vertical="center"/>
    </xf>
    <xf numFmtId="12" fontId="7" fillId="0" borderId="1" xfId="64" applyNumberFormat="1" applyFont="1" applyBorder="1" applyAlignment="1">
      <alignment horizontal="center" vertical="center"/>
    </xf>
    <xf numFmtId="166" fontId="7" fillId="0" borderId="1" xfId="65" applyNumberFormat="1" applyFont="1" applyBorder="1" applyAlignment="1">
      <alignment vertical="center"/>
    </xf>
    <xf numFmtId="0" fontId="7" fillId="0" borderId="1" xfId="66" applyFont="1" applyBorder="1" applyAlignment="1">
      <alignment vertical="center"/>
    </xf>
    <xf numFmtId="0" fontId="7" fillId="0" borderId="1" xfId="64" applyNumberFormat="1" applyFont="1" applyBorder="1" applyAlignment="1">
      <alignment horizontal="center" vertical="center"/>
    </xf>
    <xf numFmtId="0" fontId="7" fillId="0" borderId="1" xfId="66" applyFont="1" applyBorder="1" applyAlignment="1">
      <alignment horizontal="center" vertical="center"/>
    </xf>
    <xf numFmtId="168" fontId="7" fillId="0" borderId="1" xfId="64" applyNumberFormat="1" applyFont="1" applyBorder="1" applyAlignment="1">
      <alignment vertical="center"/>
    </xf>
    <xf numFmtId="0" fontId="5" fillId="0" borderId="1" xfId="0" applyFont="1" applyBorder="1" applyAlignment="1">
      <alignment vertical="center"/>
    </xf>
    <xf numFmtId="168" fontId="5" fillId="0" borderId="1" xfId="0" applyNumberFormat="1" applyFont="1" applyBorder="1" applyAlignment="1">
      <alignment vertical="center"/>
    </xf>
    <xf numFmtId="0" fontId="7" fillId="0" borderId="1" xfId="66" applyFont="1" applyBorder="1" applyAlignment="1">
      <alignment horizontal="left" vertical="center"/>
    </xf>
    <xf numFmtId="44" fontId="7" fillId="0" borderId="1" xfId="65" applyFont="1" applyBorder="1" applyAlignment="1">
      <alignment horizontal="left" vertical="center"/>
    </xf>
    <xf numFmtId="166" fontId="7" fillId="0" borderId="1" xfId="66" applyNumberFormat="1" applyFont="1" applyBorder="1" applyAlignment="1">
      <alignment vertical="center"/>
    </xf>
    <xf numFmtId="166" fontId="7" fillId="0" borderId="1" xfId="66" applyNumberFormat="1" applyFont="1" applyBorder="1" applyAlignment="1">
      <alignment horizontal="right" vertical="center"/>
    </xf>
    <xf numFmtId="0" fontId="16" fillId="0" borderId="0" xfId="0" applyFont="1" applyAlignment="1">
      <alignment vertical="center"/>
    </xf>
    <xf numFmtId="1" fontId="7" fillId="0" borderId="0" xfId="0" applyNumberFormat="1" applyFont="1" applyAlignment="1">
      <alignment horizontal="center" vertical="center"/>
    </xf>
    <xf numFmtId="167" fontId="11" fillId="0" borderId="0" xfId="0" applyNumberFormat="1" applyFont="1" applyAlignment="1">
      <alignment vertical="center"/>
    </xf>
    <xf numFmtId="0" fontId="11" fillId="0" borderId="0" xfId="0" applyFont="1" applyAlignment="1">
      <alignment horizontal="center" vertical="center"/>
    </xf>
    <xf numFmtId="0" fontId="17" fillId="0" borderId="0" xfId="0" applyFont="1" applyAlignment="1">
      <alignment horizontal="left" vertical="center"/>
    </xf>
    <xf numFmtId="4" fontId="7" fillId="0" borderId="0" xfId="0" applyNumberFormat="1" applyFont="1" applyAlignment="1">
      <alignment horizontal="center" vertical="center"/>
    </xf>
    <xf numFmtId="0" fontId="7" fillId="0" borderId="0" xfId="0" applyFont="1" applyAlignment="1">
      <alignment horizontal="left" vertical="center"/>
    </xf>
    <xf numFmtId="0" fontId="7" fillId="0" borderId="2" xfId="306" applyFont="1" applyBorder="1" applyAlignment="1">
      <alignment horizontal="center" vertical="center"/>
    </xf>
    <xf numFmtId="0" fontId="7" fillId="0" borderId="3" xfId="306" applyFont="1" applyBorder="1" applyAlignment="1">
      <alignment horizontal="center" vertical="center"/>
    </xf>
    <xf numFmtId="0" fontId="7" fillId="0" borderId="11" xfId="63" applyFont="1" applyBorder="1" applyAlignment="1">
      <alignment horizontal="center" vertical="center"/>
    </xf>
    <xf numFmtId="0" fontId="7" fillId="0" borderId="11" xfId="63" applyFont="1" applyBorder="1" applyAlignment="1">
      <alignment vertical="center"/>
    </xf>
    <xf numFmtId="0" fontId="7" fillId="0" borderId="11" xfId="0" applyFont="1" applyBorder="1" applyAlignment="1">
      <alignment horizontal="center" vertical="center"/>
    </xf>
    <xf numFmtId="0" fontId="5" fillId="0" borderId="11" xfId="0" applyFont="1" applyBorder="1" applyAlignment="1">
      <alignment vertical="center"/>
    </xf>
    <xf numFmtId="0" fontId="11" fillId="0" borderId="0" xfId="0" applyFont="1" applyAlignment="1">
      <alignment horizontal="left" vertical="center"/>
    </xf>
    <xf numFmtId="167" fontId="7" fillId="0" borderId="0" xfId="0" applyNumberFormat="1" applyFont="1" applyAlignment="1">
      <alignment horizontal="center" vertical="center"/>
    </xf>
    <xf numFmtId="167" fontId="11" fillId="0" borderId="0" xfId="0" applyNumberFormat="1" applyFont="1" applyAlignment="1">
      <alignment horizontal="center" vertical="center"/>
    </xf>
    <xf numFmtId="0" fontId="9" fillId="8" borderId="0" xfId="66" applyFont="1" applyFill="1" applyAlignment="1">
      <alignment vertical="center"/>
    </xf>
    <xf numFmtId="0" fontId="17" fillId="8" borderId="0" xfId="0" applyFont="1" applyFill="1" applyAlignment="1">
      <alignment vertical="center"/>
    </xf>
    <xf numFmtId="0" fontId="7" fillId="8" borderId="1" xfId="0" applyFont="1" applyFill="1" applyBorder="1" applyAlignment="1">
      <alignment horizontal="center" vertical="center"/>
    </xf>
    <xf numFmtId="0" fontId="7" fillId="8" borderId="1" xfId="66" applyFont="1" applyFill="1" applyBorder="1" applyAlignment="1">
      <alignment vertical="center"/>
    </xf>
    <xf numFmtId="44" fontId="7" fillId="0" borderId="1" xfId="65" applyFont="1" applyBorder="1" applyAlignment="1">
      <alignment horizontal="center" vertical="center"/>
    </xf>
    <xf numFmtId="0" fontId="7" fillId="0" borderId="11" xfId="63" applyFont="1" applyBorder="1" applyAlignment="1">
      <alignment horizontal="left" vertical="center"/>
    </xf>
    <xf numFmtId="0" fontId="7" fillId="0" borderId="11" xfId="0" applyFont="1" applyBorder="1" applyAlignment="1">
      <alignment horizontal="left" vertical="center"/>
    </xf>
    <xf numFmtId="0" fontId="7" fillId="8" borderId="11" xfId="0" applyFont="1" applyFill="1" applyBorder="1" applyAlignment="1">
      <alignment horizontal="center" vertical="center"/>
    </xf>
    <xf numFmtId="0" fontId="7" fillId="8" borderId="11" xfId="0" applyFont="1" applyFill="1" applyBorder="1" applyAlignment="1">
      <alignment horizontal="left" vertical="center"/>
    </xf>
    <xf numFmtId="0" fontId="7" fillId="8" borderId="11" xfId="0" applyFont="1" applyFill="1" applyBorder="1" applyAlignment="1">
      <alignment horizontal="center" vertical="center" wrapText="1"/>
    </xf>
    <xf numFmtId="0" fontId="18" fillId="8" borderId="0" xfId="0" applyFont="1" applyFill="1" applyAlignment="1">
      <alignment vertical="center"/>
    </xf>
    <xf numFmtId="3" fontId="7" fillId="0" borderId="11" xfId="63" applyNumberFormat="1" applyFont="1" applyBorder="1" applyAlignment="1">
      <alignment horizontal="right" vertical="center"/>
    </xf>
    <xf numFmtId="3" fontId="7" fillId="8" borderId="11" xfId="0" applyNumberFormat="1" applyFont="1" applyFill="1" applyBorder="1" applyAlignment="1">
      <alignment horizontal="center" vertical="center" wrapText="1"/>
    </xf>
    <xf numFmtId="1" fontId="7" fillId="0" borderId="11" xfId="0" applyNumberFormat="1" applyFont="1" applyBorder="1" applyAlignment="1">
      <alignment horizontal="center" vertical="center"/>
    </xf>
    <xf numFmtId="0" fontId="7" fillId="3" borderId="16" xfId="306" applyFont="1" applyFill="1" applyBorder="1" applyAlignment="1">
      <alignment horizontal="center" vertical="center"/>
    </xf>
    <xf numFmtId="0" fontId="7" fillId="0" borderId="0" xfId="66" applyFont="1" applyAlignment="1">
      <alignment horizontal="center" vertical="center" wrapText="1"/>
    </xf>
    <xf numFmtId="0" fontId="3" fillId="0" borderId="0" xfId="305" applyAlignment="1">
      <alignment vertical="center"/>
    </xf>
    <xf numFmtId="0" fontId="7" fillId="8" borderId="11" xfId="0" applyFont="1" applyFill="1" applyBorder="1" applyAlignment="1">
      <alignment horizontal="left" vertical="center" wrapText="1"/>
    </xf>
    <xf numFmtId="3" fontId="7" fillId="8" borderId="11" xfId="0" applyNumberFormat="1" applyFont="1" applyFill="1" applyBorder="1" applyAlignment="1">
      <alignment horizontal="right" vertical="center" wrapText="1"/>
    </xf>
    <xf numFmtId="0" fontId="7" fillId="0" borderId="11" xfId="0" applyFont="1" applyBorder="1" applyAlignment="1">
      <alignment vertical="center"/>
    </xf>
    <xf numFmtId="172" fontId="7" fillId="0" borderId="11" xfId="0" applyNumberFormat="1" applyFont="1" applyBorder="1" applyAlignment="1">
      <alignment horizontal="center" vertical="center"/>
    </xf>
    <xf numFmtId="2" fontId="7" fillId="0" borderId="11" xfId="0" applyNumberFormat="1" applyFont="1" applyBorder="1" applyAlignment="1">
      <alignment vertical="center"/>
    </xf>
    <xf numFmtId="167" fontId="7" fillId="0" borderId="18" xfId="0" applyNumberFormat="1" applyFont="1" applyBorder="1" applyAlignment="1">
      <alignment vertical="center"/>
    </xf>
    <xf numFmtId="3" fontId="7" fillId="0" borderId="18" xfId="0" applyNumberFormat="1" applyFont="1" applyBorder="1" applyAlignment="1">
      <alignment vertical="center"/>
    </xf>
    <xf numFmtId="0" fontId="7" fillId="10" borderId="21" xfId="0" applyFont="1" applyFill="1" applyBorder="1" applyAlignment="1">
      <alignment vertical="center"/>
    </xf>
    <xf numFmtId="0" fontId="7" fillId="10" borderId="0" xfId="0" applyFont="1" applyFill="1" applyAlignment="1">
      <alignment vertical="center"/>
    </xf>
    <xf numFmtId="169" fontId="7" fillId="0" borderId="0" xfId="0" applyNumberFormat="1" applyFont="1" applyAlignment="1">
      <alignment vertical="center"/>
    </xf>
    <xf numFmtId="10" fontId="7" fillId="0" borderId="11" xfId="0" applyNumberFormat="1" applyFont="1" applyBorder="1" applyAlignment="1">
      <alignment vertical="center"/>
    </xf>
    <xf numFmtId="1" fontId="7" fillId="0" borderId="15" xfId="0" applyNumberFormat="1" applyFont="1" applyBorder="1" applyAlignment="1">
      <alignment horizontal="center" vertical="center"/>
    </xf>
    <xf numFmtId="37" fontId="7" fillId="0" borderId="11" xfId="0" applyNumberFormat="1" applyFont="1" applyBorder="1" applyAlignment="1">
      <alignment vertical="center"/>
    </xf>
    <xf numFmtId="4" fontId="12" fillId="0" borderId="0" xfId="0" applyNumberFormat="1" applyFont="1" applyAlignment="1">
      <alignment horizontal="center" vertical="center"/>
    </xf>
    <xf numFmtId="0" fontId="7" fillId="0" borderId="0" xfId="63" applyFont="1" applyAlignment="1">
      <alignment horizontal="center" vertical="center"/>
    </xf>
    <xf numFmtId="37" fontId="6" fillId="0" borderId="0" xfId="0" applyNumberFormat="1" applyFont="1" applyAlignment="1">
      <alignment vertical="center"/>
    </xf>
    <xf numFmtId="2" fontId="7" fillId="0" borderId="0" xfId="0" applyNumberFormat="1" applyFont="1" applyAlignment="1">
      <alignment vertical="center"/>
    </xf>
    <xf numFmtId="3" fontId="7" fillId="0" borderId="11" xfId="0" applyNumberFormat="1" applyFont="1" applyBorder="1" applyAlignment="1">
      <alignment vertical="center"/>
    </xf>
    <xf numFmtId="2" fontId="7" fillId="7" borderId="11" xfId="0" applyNumberFormat="1" applyFont="1" applyFill="1" applyBorder="1" applyAlignment="1">
      <alignment vertical="center"/>
    </xf>
    <xf numFmtId="41" fontId="7" fillId="0" borderId="11" xfId="0" applyNumberFormat="1" applyFont="1" applyBorder="1" applyAlignment="1">
      <alignment vertical="center"/>
    </xf>
    <xf numFmtId="8" fontId="7" fillId="0" borderId="11" xfId="0" applyNumberFormat="1" applyFont="1" applyBorder="1" applyAlignment="1">
      <alignment vertical="center"/>
    </xf>
    <xf numFmtId="8" fontId="7" fillId="0" borderId="0" xfId="0" applyNumberFormat="1" applyFont="1" applyAlignment="1">
      <alignment vertical="center"/>
    </xf>
    <xf numFmtId="1" fontId="7" fillId="0" borderId="11" xfId="0" applyNumberFormat="1" applyFont="1" applyBorder="1" applyAlignment="1">
      <alignment horizontal="left" vertical="center"/>
    </xf>
    <xf numFmtId="172" fontId="7" fillId="0" borderId="11" xfId="0" applyNumberFormat="1" applyFont="1" applyBorder="1" applyAlignment="1">
      <alignment horizontal="left" vertical="center"/>
    </xf>
    <xf numFmtId="175" fontId="7" fillId="0" borderId="11" xfId="0" applyNumberFormat="1" applyFont="1" applyBorder="1" applyAlignment="1">
      <alignment vertical="center"/>
    </xf>
    <xf numFmtId="166" fontId="7" fillId="0" borderId="11" xfId="0" applyNumberFormat="1" applyFont="1" applyBorder="1" applyAlignment="1">
      <alignment vertical="center"/>
    </xf>
    <xf numFmtId="10" fontId="5" fillId="0" borderId="18" xfId="0" applyNumberFormat="1" applyFont="1" applyBorder="1" applyAlignment="1">
      <alignment vertical="center"/>
    </xf>
    <xf numFmtId="10" fontId="7" fillId="0" borderId="18" xfId="0" applyNumberFormat="1" applyFont="1" applyBorder="1" applyAlignment="1">
      <alignment vertical="center"/>
    </xf>
    <xf numFmtId="172" fontId="7" fillId="0" borderId="0" xfId="0" applyNumberFormat="1" applyFont="1" applyAlignment="1">
      <alignment horizontal="left" vertical="center"/>
    </xf>
    <xf numFmtId="10" fontId="7" fillId="11" borderId="11" xfId="0" applyNumberFormat="1" applyFont="1" applyFill="1" applyBorder="1" applyAlignment="1">
      <alignment vertical="center"/>
    </xf>
    <xf numFmtId="172" fontId="7" fillId="0" borderId="15" xfId="0" applyNumberFormat="1" applyFont="1" applyBorder="1" applyAlignment="1">
      <alignment horizontal="center" vertical="center"/>
    </xf>
    <xf numFmtId="2" fontId="7" fillId="0" borderId="15" xfId="0" applyNumberFormat="1" applyFont="1" applyBorder="1" applyAlignment="1">
      <alignment vertical="center"/>
    </xf>
    <xf numFmtId="167" fontId="7" fillId="0" borderId="15" xfId="0" applyNumberFormat="1" applyFont="1" applyBorder="1" applyAlignment="1">
      <alignment horizontal="center" vertical="center"/>
    </xf>
    <xf numFmtId="0" fontId="29" fillId="0" borderId="0" xfId="0" applyFont="1" applyAlignment="1">
      <alignment vertical="center"/>
    </xf>
    <xf numFmtId="0" fontId="9" fillId="0" borderId="0" xfId="0" applyFont="1" applyAlignment="1">
      <alignment vertical="center"/>
    </xf>
    <xf numFmtId="172" fontId="31" fillId="0" borderId="0" xfId="0" applyNumberFormat="1" applyFont="1" applyAlignment="1">
      <alignment horizontal="center" vertical="center"/>
    </xf>
    <xf numFmtId="10" fontId="5" fillId="0" borderId="23" xfId="0" applyNumberFormat="1" applyFont="1" applyBorder="1" applyAlignment="1">
      <alignment vertical="center"/>
    </xf>
    <xf numFmtId="0" fontId="7" fillId="0" borderId="15" xfId="0" applyFont="1" applyBorder="1" applyAlignment="1">
      <alignment horizontal="left" vertical="center"/>
    </xf>
    <xf numFmtId="0" fontId="7" fillId="10" borderId="24" xfId="0" applyFont="1" applyFill="1" applyBorder="1" applyAlignment="1">
      <alignment vertical="center"/>
    </xf>
    <xf numFmtId="0" fontId="7" fillId="10" borderId="25" xfId="0" applyFont="1" applyFill="1" applyBorder="1" applyAlignment="1">
      <alignment vertical="center"/>
    </xf>
    <xf numFmtId="37" fontId="5" fillId="0" borderId="0" xfId="0" applyNumberFormat="1" applyFont="1" applyAlignment="1">
      <alignment vertical="center"/>
    </xf>
    <xf numFmtId="0" fontId="9" fillId="8" borderId="0" xfId="0" applyFont="1" applyFill="1" applyAlignment="1">
      <alignment horizontal="center" vertical="center"/>
    </xf>
    <xf numFmtId="8" fontId="7" fillId="0" borderId="13" xfId="0" applyNumberFormat="1" applyFont="1" applyBorder="1" applyAlignment="1">
      <alignment vertical="center"/>
    </xf>
    <xf numFmtId="10" fontId="7" fillId="0" borderId="0" xfId="0" applyNumberFormat="1" applyFont="1" applyAlignment="1">
      <alignment vertical="center"/>
    </xf>
    <xf numFmtId="0" fontId="28" fillId="8" borderId="0" xfId="0" applyFont="1" applyFill="1" applyAlignment="1">
      <alignment vertical="center"/>
    </xf>
    <xf numFmtId="172" fontId="12" fillId="8" borderId="0" xfId="0" applyNumberFormat="1" applyFont="1" applyFill="1" applyAlignment="1">
      <alignment horizontal="center" vertical="center"/>
    </xf>
    <xf numFmtId="0" fontId="11" fillId="8" borderId="0" xfId="0" applyFont="1" applyFill="1" applyAlignment="1">
      <alignment vertical="center"/>
    </xf>
    <xf numFmtId="3" fontId="7" fillId="0" borderId="11" xfId="0" applyNumberFormat="1" applyFont="1" applyBorder="1" applyAlignment="1">
      <alignment horizontal="right" vertical="center"/>
    </xf>
    <xf numFmtId="0" fontId="7" fillId="0" borderId="0" xfId="0" applyFont="1" applyAlignment="1">
      <alignment horizontal="right" vertical="center"/>
    </xf>
    <xf numFmtId="1" fontId="5" fillId="0" borderId="11" xfId="0" applyNumberFormat="1" applyFont="1" applyBorder="1" applyAlignment="1">
      <alignment horizontal="center" vertical="center"/>
    </xf>
    <xf numFmtId="172" fontId="5" fillId="0" borderId="11" xfId="0" applyNumberFormat="1" applyFont="1" applyBorder="1" applyAlignment="1">
      <alignment horizontal="center" vertical="center"/>
    </xf>
    <xf numFmtId="3" fontId="7" fillId="0" borderId="12" xfId="0" applyNumberFormat="1" applyFont="1" applyBorder="1" applyAlignment="1">
      <alignment horizontal="right" vertical="center"/>
    </xf>
    <xf numFmtId="41" fontId="7" fillId="0" borderId="11" xfId="0" applyNumberFormat="1" applyFont="1" applyBorder="1" applyAlignment="1">
      <alignment horizontal="center" vertical="center"/>
    </xf>
    <xf numFmtId="167" fontId="7" fillId="0" borderId="11" xfId="0" applyNumberFormat="1" applyFont="1" applyBorder="1" applyAlignment="1">
      <alignment horizontal="center" vertical="center"/>
    </xf>
    <xf numFmtId="1" fontId="7" fillId="8" borderId="11" xfId="0" applyNumberFormat="1" applyFont="1" applyFill="1" applyBorder="1" applyAlignment="1">
      <alignment horizontal="left" vertical="center"/>
    </xf>
    <xf numFmtId="178" fontId="7" fillId="0" borderId="11" xfId="0" applyNumberFormat="1" applyFont="1" applyBorder="1" applyAlignment="1">
      <alignment vertical="center"/>
    </xf>
    <xf numFmtId="179" fontId="7" fillId="0" borderId="11" xfId="0" applyNumberFormat="1" applyFont="1" applyBorder="1" applyAlignment="1">
      <alignment vertical="center"/>
    </xf>
    <xf numFmtId="8" fontId="7" fillId="0" borderId="18" xfId="0" applyNumberFormat="1" applyFont="1" applyBorder="1" applyAlignment="1">
      <alignment vertical="center"/>
    </xf>
    <xf numFmtId="8" fontId="7" fillId="0" borderId="15" xfId="0" applyNumberFormat="1" applyFont="1" applyBorder="1" applyAlignment="1">
      <alignment vertical="center"/>
    </xf>
    <xf numFmtId="8" fontId="5" fillId="12" borderId="11" xfId="0" applyNumberFormat="1" applyFont="1" applyFill="1" applyBorder="1" applyAlignment="1">
      <alignment vertical="center"/>
    </xf>
    <xf numFmtId="0" fontId="7" fillId="12" borderId="11" xfId="0" applyFont="1" applyFill="1" applyBorder="1" applyAlignment="1">
      <alignment vertical="center"/>
    </xf>
    <xf numFmtId="175" fontId="7" fillId="12" borderId="11" xfId="0" applyNumberFormat="1" applyFont="1" applyFill="1" applyBorder="1" applyAlignment="1">
      <alignment vertical="center"/>
    </xf>
    <xf numFmtId="8" fontId="15" fillId="8" borderId="26" xfId="0" applyNumberFormat="1" applyFont="1" applyFill="1" applyBorder="1" applyAlignment="1">
      <alignment vertical="center"/>
    </xf>
    <xf numFmtId="8" fontId="7" fillId="8" borderId="11" xfId="0" applyNumberFormat="1" applyFont="1" applyFill="1" applyBorder="1" applyAlignment="1">
      <alignment vertical="center"/>
    </xf>
    <xf numFmtId="0" fontId="27" fillId="0" borderId="0" xfId="0" applyFont="1" applyAlignment="1">
      <alignment vertical="center"/>
    </xf>
    <xf numFmtId="41" fontId="7" fillId="0" borderId="0" xfId="0" applyNumberFormat="1" applyFont="1" applyAlignment="1">
      <alignment vertical="center"/>
    </xf>
    <xf numFmtId="0" fontId="32" fillId="0" borderId="0" xfId="0" applyFont="1" applyAlignment="1">
      <alignment vertical="center"/>
    </xf>
    <xf numFmtId="0" fontId="33" fillId="0" borderId="0" xfId="0" applyFont="1" applyAlignment="1">
      <alignment vertical="center"/>
    </xf>
    <xf numFmtId="1" fontId="7" fillId="0" borderId="18" xfId="0" applyNumberFormat="1" applyFont="1" applyBorder="1" applyAlignment="1">
      <alignment horizontal="center" vertical="center"/>
    </xf>
    <xf numFmtId="8" fontId="15" fillId="8" borderId="11" xfId="0" applyNumberFormat="1" applyFont="1" applyFill="1" applyBorder="1" applyAlignment="1">
      <alignment vertical="center"/>
    </xf>
    <xf numFmtId="1" fontId="7" fillId="0" borderId="13" xfId="0" applyNumberFormat="1" applyFont="1" applyBorder="1" applyAlignment="1">
      <alignment horizontal="left" vertical="center"/>
    </xf>
    <xf numFmtId="10" fontId="7" fillId="0" borderId="13" xfId="0" applyNumberFormat="1" applyFont="1" applyBorder="1" applyAlignment="1">
      <alignment vertical="center"/>
    </xf>
    <xf numFmtId="0" fontId="7" fillId="8" borderId="0" xfId="0" applyFont="1" applyFill="1" applyAlignment="1">
      <alignment vertical="center"/>
    </xf>
    <xf numFmtId="0" fontId="7" fillId="0" borderId="22" xfId="0" applyFont="1" applyBorder="1" applyAlignment="1">
      <alignment horizontal="left" vertical="center"/>
    </xf>
    <xf numFmtId="0" fontId="7" fillId="0" borderId="11" xfId="0" applyFont="1" applyBorder="1" applyAlignment="1">
      <alignment horizontal="left" vertical="center" wrapText="1"/>
    </xf>
    <xf numFmtId="3" fontId="7" fillId="8" borderId="15" xfId="0" applyNumberFormat="1" applyFont="1" applyFill="1" applyBorder="1" applyAlignment="1">
      <alignment horizontal="right" vertical="center" wrapText="1"/>
    </xf>
    <xf numFmtId="2" fontId="7" fillId="0" borderId="15" xfId="0" applyNumberFormat="1" applyFont="1" applyBorder="1" applyAlignment="1">
      <alignment horizontal="center" vertical="center"/>
    </xf>
    <xf numFmtId="0" fontId="7" fillId="10" borderId="27" xfId="0" applyFont="1" applyFill="1" applyBorder="1" applyAlignment="1">
      <alignment vertical="center"/>
    </xf>
    <xf numFmtId="0" fontId="7" fillId="10" borderId="28" xfId="0" applyFont="1" applyFill="1" applyBorder="1" applyAlignment="1">
      <alignment vertical="center"/>
    </xf>
    <xf numFmtId="37" fontId="7" fillId="0" borderId="18" xfId="0" applyNumberFormat="1" applyFont="1" applyBorder="1" applyAlignment="1">
      <alignment vertical="center"/>
    </xf>
    <xf numFmtId="2" fontId="7" fillId="0" borderId="11" xfId="0" applyNumberFormat="1" applyFont="1" applyBorder="1" applyAlignment="1">
      <alignment horizontal="center" vertical="center"/>
    </xf>
    <xf numFmtId="169" fontId="7" fillId="0" borderId="11" xfId="0" applyNumberFormat="1" applyFont="1" applyBorder="1" applyAlignment="1">
      <alignment vertical="center"/>
    </xf>
    <xf numFmtId="0" fontId="9" fillId="0" borderId="0" xfId="0" applyFont="1"/>
    <xf numFmtId="0" fontId="27" fillId="2" borderId="0" xfId="0" applyFont="1" applyFill="1" applyAlignment="1">
      <alignment vertical="center"/>
    </xf>
    <xf numFmtId="3" fontId="5" fillId="0" borderId="11" xfId="0" applyNumberFormat="1" applyFont="1" applyBorder="1" applyAlignment="1">
      <alignment vertical="center"/>
    </xf>
    <xf numFmtId="2" fontId="5" fillId="0" borderId="11" xfId="0" applyNumberFormat="1" applyFont="1" applyBorder="1" applyAlignment="1">
      <alignment vertical="center"/>
    </xf>
    <xf numFmtId="3" fontId="7" fillId="0" borderId="0" xfId="0" applyNumberFormat="1" applyFont="1" applyAlignment="1">
      <alignment vertical="center"/>
    </xf>
    <xf numFmtId="0" fontId="26" fillId="0" borderId="0" xfId="0" applyFont="1" applyAlignment="1">
      <alignment vertical="center"/>
    </xf>
    <xf numFmtId="0" fontId="9" fillId="0" borderId="0" xfId="0" applyFont="1" applyAlignment="1">
      <alignment horizontal="right" vertical="center"/>
    </xf>
    <xf numFmtId="3" fontId="9" fillId="0" borderId="0" xfId="0" applyNumberFormat="1" applyFont="1" applyAlignment="1">
      <alignment vertical="center"/>
    </xf>
    <xf numFmtId="0" fontId="1" fillId="0" borderId="0" xfId="306" applyAlignment="1">
      <alignment vertical="center"/>
    </xf>
    <xf numFmtId="49" fontId="7" fillId="0" borderId="1" xfId="0" applyNumberFormat="1" applyFont="1" applyBorder="1" applyAlignment="1">
      <alignment horizontal="center" vertical="center"/>
    </xf>
    <xf numFmtId="0" fontId="7" fillId="0" borderId="1" xfId="0" applyFont="1" applyBorder="1" applyAlignment="1">
      <alignment vertical="center"/>
    </xf>
    <xf numFmtId="0" fontId="9" fillId="0" borderId="0" xfId="0" applyFont="1" applyAlignment="1">
      <alignment horizontal="center" vertical="center"/>
    </xf>
    <xf numFmtId="3" fontId="7" fillId="0" borderId="12" xfId="0" applyNumberFormat="1" applyFont="1" applyBorder="1" applyAlignment="1">
      <alignment vertical="center"/>
    </xf>
    <xf numFmtId="0" fontId="7" fillId="0" borderId="1" xfId="0" applyFont="1" applyBorder="1" applyAlignment="1">
      <alignment horizontal="left" vertical="center"/>
    </xf>
    <xf numFmtId="173" fontId="7" fillId="0" borderId="1" xfId="7" applyNumberFormat="1" applyFont="1" applyFill="1" applyBorder="1" applyAlignment="1">
      <alignment horizontal="center" vertical="center"/>
    </xf>
    <xf numFmtId="0" fontId="7" fillId="0" borderId="14" xfId="0" applyFont="1" applyBorder="1" applyAlignment="1">
      <alignment horizontal="left" vertical="center"/>
    </xf>
    <xf numFmtId="173" fontId="7" fillId="0" borderId="11" xfId="7" applyNumberFormat="1" applyFont="1" applyFill="1" applyBorder="1" applyAlignment="1">
      <alignment horizontal="center" vertical="center"/>
    </xf>
    <xf numFmtId="173" fontId="7" fillId="0" borderId="5" xfId="7" applyNumberFormat="1" applyFont="1" applyFill="1" applyBorder="1" applyAlignment="1">
      <alignment horizontal="center" vertical="center"/>
    </xf>
    <xf numFmtId="3" fontId="7" fillId="0" borderId="1" xfId="0" applyNumberFormat="1" applyFont="1" applyBorder="1" applyAlignment="1">
      <alignment horizontal="center" vertical="center"/>
    </xf>
    <xf numFmtId="173" fontId="7" fillId="0" borderId="1" xfId="7" applyNumberFormat="1" applyFont="1" applyBorder="1" applyAlignment="1">
      <alignment horizontal="center" vertical="center"/>
    </xf>
    <xf numFmtId="3" fontId="7" fillId="0" borderId="1" xfId="7" applyNumberFormat="1" applyFont="1" applyBorder="1" applyAlignment="1">
      <alignment horizontal="right" vertical="center"/>
    </xf>
    <xf numFmtId="3" fontId="7" fillId="0" borderId="1" xfId="7" applyNumberFormat="1" applyFont="1" applyBorder="1" applyAlignment="1">
      <alignment horizontal="center" vertical="center"/>
    </xf>
    <xf numFmtId="0" fontId="5" fillId="0" borderId="1" xfId="0" applyFont="1" applyBorder="1" applyAlignment="1">
      <alignment horizontal="left" vertical="center"/>
    </xf>
    <xf numFmtId="0" fontId="7" fillId="0" borderId="1" xfId="0" applyFont="1" applyBorder="1" applyAlignment="1">
      <alignment horizontal="center" vertical="center"/>
    </xf>
    <xf numFmtId="0" fontId="7" fillId="0" borderId="4" xfId="0" applyFont="1" applyBorder="1" applyAlignment="1">
      <alignment vertical="center"/>
    </xf>
    <xf numFmtId="0" fontId="7" fillId="0" borderId="14" xfId="0" applyFont="1" applyBorder="1" applyAlignment="1">
      <alignment vertical="center"/>
    </xf>
    <xf numFmtId="2" fontId="7" fillId="0" borderId="1" xfId="0" applyNumberFormat="1" applyFont="1" applyBorder="1" applyAlignment="1">
      <alignment horizontal="center" vertical="center"/>
    </xf>
    <xf numFmtId="4" fontId="7" fillId="0" borderId="1" xfId="0" applyNumberFormat="1" applyFont="1" applyBorder="1" applyAlignment="1">
      <alignment horizontal="center" vertical="center"/>
    </xf>
    <xf numFmtId="0" fontId="34" fillId="0" borderId="0" xfId="0" applyFont="1" applyAlignment="1">
      <alignment horizontal="center" vertical="center"/>
    </xf>
    <xf numFmtId="0" fontId="34" fillId="0" borderId="0" xfId="0" applyFont="1" applyAlignment="1">
      <alignment vertical="center"/>
    </xf>
    <xf numFmtId="167" fontId="7" fillId="0" borderId="12" xfId="0" applyNumberFormat="1" applyFont="1" applyBorder="1" applyAlignment="1">
      <alignment vertical="center"/>
    </xf>
    <xf numFmtId="41" fontId="7" fillId="0" borderId="22" xfId="0" applyNumberFormat="1" applyFont="1" applyBorder="1" applyAlignment="1">
      <alignment horizontal="center" vertical="center"/>
    </xf>
    <xf numFmtId="41" fontId="7" fillId="0" borderId="18" xfId="7" applyNumberFormat="1" applyFont="1" applyBorder="1" applyAlignment="1">
      <alignment vertical="center"/>
    </xf>
    <xf numFmtId="41" fontId="7" fillId="0" borderId="11" xfId="7" applyNumberFormat="1" applyFont="1" applyBorder="1" applyAlignment="1">
      <alignment vertical="center"/>
    </xf>
    <xf numFmtId="41" fontId="7" fillId="0" borderId="18" xfId="0" applyNumberFormat="1" applyFont="1" applyBorder="1" applyAlignment="1">
      <alignment vertical="center"/>
    </xf>
    <xf numFmtId="37" fontId="9" fillId="0" borderId="0" xfId="0" applyNumberFormat="1" applyFont="1" applyAlignment="1">
      <alignment vertical="center"/>
    </xf>
    <xf numFmtId="37" fontId="9" fillId="0" borderId="0" xfId="0" applyNumberFormat="1" applyFont="1" applyAlignment="1">
      <alignment horizontal="center" vertical="center"/>
    </xf>
    <xf numFmtId="37" fontId="29" fillId="0" borderId="0" xfId="0" applyNumberFormat="1" applyFont="1" applyAlignment="1">
      <alignment horizontal="left" vertical="center"/>
    </xf>
    <xf numFmtId="0" fontId="16" fillId="0" borderId="0" xfId="0" applyFont="1" applyAlignment="1">
      <alignment vertical="center" wrapText="1"/>
    </xf>
    <xf numFmtId="0" fontId="7" fillId="0" borderId="0" xfId="0" applyFont="1" applyAlignment="1">
      <alignment vertical="center" wrapText="1"/>
    </xf>
    <xf numFmtId="174" fontId="9" fillId="0" borderId="0" xfId="0" applyNumberFormat="1" applyFont="1" applyAlignment="1">
      <alignment vertical="center"/>
    </xf>
    <xf numFmtId="0" fontId="0" fillId="0" borderId="11" xfId="0" applyBorder="1" applyAlignment="1">
      <alignment vertical="center"/>
    </xf>
    <xf numFmtId="10" fontId="28" fillId="0" borderId="0" xfId="0" applyNumberFormat="1" applyFont="1" applyAlignment="1">
      <alignment vertical="center"/>
    </xf>
    <xf numFmtId="169" fontId="9" fillId="0" borderId="0" xfId="0" applyNumberFormat="1" applyFont="1" applyAlignment="1">
      <alignment vertical="center"/>
    </xf>
    <xf numFmtId="6" fontId="9" fillId="0" borderId="0" xfId="0" applyNumberFormat="1" applyFont="1" applyAlignment="1">
      <alignment vertical="center"/>
    </xf>
    <xf numFmtId="41" fontId="7" fillId="0" borderId="1"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4" xfId="0" applyFont="1" applyBorder="1" applyAlignment="1">
      <alignment horizontal="center" vertical="center"/>
    </xf>
    <xf numFmtId="0" fontId="7" fillId="0" borderId="1" xfId="0" applyFont="1" applyBorder="1" applyAlignment="1">
      <alignment vertical="center" wrapText="1"/>
    </xf>
    <xf numFmtId="0" fontId="7" fillId="0" borderId="0" xfId="0" quotePrefix="1" applyFont="1" applyAlignment="1">
      <alignment vertical="center"/>
    </xf>
    <xf numFmtId="0" fontId="7" fillId="0" borderId="0" xfId="0" quotePrefix="1" applyFont="1" applyAlignment="1">
      <alignment horizontal="right" vertical="center"/>
    </xf>
    <xf numFmtId="176" fontId="7" fillId="0" borderId="0" xfId="7" applyNumberFormat="1" applyFont="1" applyAlignment="1">
      <alignment vertical="center"/>
    </xf>
    <xf numFmtId="41" fontId="9" fillId="0" borderId="0" xfId="0" applyNumberFormat="1" applyFont="1" applyAlignment="1">
      <alignment vertical="center"/>
    </xf>
    <xf numFmtId="3" fontId="35" fillId="0" borderId="0" xfId="305" applyNumberFormat="1" applyFont="1" applyAlignment="1">
      <alignment vertical="center"/>
    </xf>
    <xf numFmtId="0" fontId="9" fillId="8" borderId="0" xfId="0" applyFont="1" applyFill="1" applyAlignment="1">
      <alignment vertical="center"/>
    </xf>
    <xf numFmtId="9" fontId="7" fillId="0" borderId="11" xfId="0" applyNumberFormat="1" applyFont="1" applyBorder="1" applyAlignment="1">
      <alignment horizontal="right" vertical="center"/>
    </xf>
    <xf numFmtId="0" fontId="7" fillId="0" borderId="11" xfId="0" applyFont="1" applyBorder="1" applyAlignment="1">
      <alignment vertical="center" wrapText="1"/>
    </xf>
    <xf numFmtId="9" fontId="7" fillId="12" borderId="11" xfId="0" applyNumberFormat="1" applyFont="1" applyFill="1" applyBorder="1" applyAlignment="1">
      <alignment horizontal="right" vertical="center"/>
    </xf>
    <xf numFmtId="3" fontId="7" fillId="12" borderId="11" xfId="0" applyNumberFormat="1" applyFont="1" applyFill="1" applyBorder="1" applyAlignment="1">
      <alignment horizontal="right" vertical="center" wrapText="1"/>
    </xf>
    <xf numFmtId="3" fontId="7" fillId="8" borderId="11" xfId="0" applyNumberFormat="1" applyFont="1" applyFill="1" applyBorder="1" applyAlignment="1">
      <alignment vertical="center"/>
    </xf>
    <xf numFmtId="0" fontId="7" fillId="8" borderId="11" xfId="0" applyFont="1" applyFill="1" applyBorder="1" applyAlignment="1">
      <alignment vertical="center"/>
    </xf>
    <xf numFmtId="0" fontId="7" fillId="0" borderId="15" xfId="0" applyFont="1" applyBorder="1" applyAlignment="1">
      <alignment vertical="center"/>
    </xf>
    <xf numFmtId="0" fontId="30" fillId="8" borderId="0" xfId="0" applyFont="1" applyFill="1" applyAlignment="1">
      <alignment vertical="center"/>
    </xf>
    <xf numFmtId="0" fontId="0" fillId="0" borderId="0" xfId="0" applyAlignment="1">
      <alignment horizontal="center" vertical="center"/>
    </xf>
    <xf numFmtId="168" fontId="6" fillId="0" borderId="0" xfId="0" applyNumberFormat="1" applyFont="1" applyAlignment="1">
      <alignment vertical="center"/>
    </xf>
    <xf numFmtId="168" fontId="7" fillId="0" borderId="0" xfId="0" applyNumberFormat="1" applyFont="1" applyAlignment="1">
      <alignment vertical="center"/>
    </xf>
    <xf numFmtId="10" fontId="5" fillId="0" borderId="11" xfId="0" applyNumberFormat="1" applyFont="1" applyBorder="1" applyAlignment="1">
      <alignment vertical="center"/>
    </xf>
    <xf numFmtId="177" fontId="7" fillId="0" borderId="11" xfId="0" applyNumberFormat="1" applyFont="1" applyBorder="1" applyAlignment="1">
      <alignment vertical="center"/>
    </xf>
    <xf numFmtId="3" fontId="6" fillId="0" borderId="0" xfId="0" applyNumberFormat="1" applyFont="1" applyAlignment="1">
      <alignment vertical="center"/>
    </xf>
    <xf numFmtId="0" fontId="15" fillId="8" borderId="0" xfId="0" applyFont="1" applyFill="1" applyAlignment="1">
      <alignment vertical="center"/>
    </xf>
    <xf numFmtId="0" fontId="7" fillId="0" borderId="18" xfId="0" applyFont="1" applyBorder="1" applyAlignment="1">
      <alignment vertical="center"/>
    </xf>
    <xf numFmtId="168" fontId="9" fillId="0" borderId="0" xfId="0" applyNumberFormat="1" applyFont="1" applyAlignment="1">
      <alignment vertical="center"/>
    </xf>
    <xf numFmtId="6" fontId="0" fillId="0" borderId="0" xfId="0" applyNumberFormat="1" applyAlignment="1">
      <alignment vertical="center"/>
    </xf>
    <xf numFmtId="169" fontId="0" fillId="0" borderId="0" xfId="0" applyNumberFormat="1" applyAlignment="1">
      <alignment vertical="center"/>
    </xf>
    <xf numFmtId="0" fontId="7" fillId="0" borderId="2" xfId="306" applyFont="1" applyBorder="1" applyAlignment="1">
      <alignment vertical="center"/>
    </xf>
    <xf numFmtId="166" fontId="7" fillId="0" borderId="2" xfId="307" applyNumberFormat="1" applyFont="1" applyBorder="1" applyAlignment="1">
      <alignment vertical="center"/>
    </xf>
    <xf numFmtId="166" fontId="7" fillId="0" borderId="2" xfId="306" applyNumberFormat="1" applyFont="1" applyBorder="1" applyAlignment="1">
      <alignment vertical="center"/>
    </xf>
    <xf numFmtId="0" fontId="15" fillId="0" borderId="2" xfId="306" applyFont="1" applyBorder="1" applyAlignment="1">
      <alignment vertical="center"/>
    </xf>
    <xf numFmtId="0" fontId="7" fillId="0" borderId="3" xfId="306" applyFont="1" applyBorder="1" applyAlignment="1">
      <alignment vertical="center"/>
    </xf>
    <xf numFmtId="164" fontId="7" fillId="0" borderId="3" xfId="307" applyFont="1" applyBorder="1" applyAlignment="1">
      <alignment vertical="center"/>
    </xf>
    <xf numFmtId="164" fontId="7" fillId="0" borderId="0" xfId="307" applyFont="1" applyAlignment="1">
      <alignment vertical="center"/>
    </xf>
    <xf numFmtId="164" fontId="0" fillId="0" borderId="0" xfId="307" applyFont="1" applyAlignment="1">
      <alignment vertical="center"/>
    </xf>
    <xf numFmtId="168" fontId="9" fillId="0" borderId="0" xfId="64" applyNumberFormat="1" applyFont="1" applyAlignment="1">
      <alignment vertical="center"/>
    </xf>
    <xf numFmtId="43" fontId="9" fillId="0" borderId="0" xfId="64" applyFont="1" applyAlignment="1">
      <alignment vertical="center"/>
    </xf>
    <xf numFmtId="0" fontId="9" fillId="0" borderId="11" xfId="66" applyFont="1" applyBorder="1" applyAlignment="1">
      <alignment vertical="center"/>
    </xf>
    <xf numFmtId="0" fontId="20" fillId="0" borderId="0" xfId="66" applyFont="1" applyAlignment="1">
      <alignment vertical="center"/>
    </xf>
    <xf numFmtId="168" fontId="20" fillId="0" borderId="0" xfId="64" applyNumberFormat="1" applyFont="1" applyAlignment="1">
      <alignment vertical="center"/>
    </xf>
    <xf numFmtId="0" fontId="9" fillId="4" borderId="0" xfId="66" applyFont="1" applyFill="1" applyAlignment="1">
      <alignment vertical="center"/>
    </xf>
    <xf numFmtId="14" fontId="9" fillId="0" borderId="0" xfId="66" applyNumberFormat="1" applyFont="1" applyAlignment="1">
      <alignment vertical="center"/>
    </xf>
    <xf numFmtId="170" fontId="9" fillId="0" borderId="0" xfId="64" applyNumberFormat="1" applyFont="1" applyAlignment="1">
      <alignment vertical="center"/>
    </xf>
    <xf numFmtId="0" fontId="9" fillId="5" borderId="0" xfId="66" applyFont="1" applyFill="1" applyAlignment="1">
      <alignment vertical="center"/>
    </xf>
    <xf numFmtId="0" fontId="20" fillId="0" borderId="11" xfId="66" applyFont="1" applyBorder="1" applyAlignment="1">
      <alignment horizontal="center" vertical="center" wrapText="1"/>
    </xf>
    <xf numFmtId="43" fontId="22" fillId="0" borderId="11" xfId="64" applyFont="1" applyBorder="1" applyAlignment="1">
      <alignment vertical="center"/>
    </xf>
    <xf numFmtId="168" fontId="23" fillId="0" borderId="11" xfId="66" applyNumberFormat="1" applyFont="1" applyBorder="1" applyAlignment="1">
      <alignment vertical="center"/>
    </xf>
    <xf numFmtId="0" fontId="9" fillId="0" borderId="11" xfId="66" applyFont="1" applyBorder="1" applyAlignment="1">
      <alignment vertical="center" wrapText="1"/>
    </xf>
    <xf numFmtId="0" fontId="9" fillId="0" borderId="0" xfId="66" applyFont="1" applyAlignment="1">
      <alignment vertical="center" wrapText="1"/>
    </xf>
    <xf numFmtId="171" fontId="9" fillId="0" borderId="0" xfId="64" applyNumberFormat="1" applyFont="1" applyAlignment="1">
      <alignment vertical="center"/>
    </xf>
    <xf numFmtId="43" fontId="25" fillId="0" borderId="0" xfId="64" applyFont="1" applyAlignment="1">
      <alignment vertical="center"/>
    </xf>
    <xf numFmtId="14" fontId="9" fillId="0" borderId="0" xfId="64" applyNumberFormat="1" applyFont="1" applyAlignment="1">
      <alignment vertical="center"/>
    </xf>
    <xf numFmtId="43" fontId="9" fillId="0" borderId="0" xfId="66" applyNumberFormat="1" applyFont="1" applyAlignment="1">
      <alignment vertical="center"/>
    </xf>
    <xf numFmtId="14" fontId="9" fillId="6" borderId="0" xfId="66" applyNumberFormat="1" applyFont="1" applyFill="1" applyAlignment="1">
      <alignment vertical="center"/>
    </xf>
    <xf numFmtId="0" fontId="9" fillId="0" borderId="0" xfId="66" applyFont="1" applyAlignment="1">
      <alignment horizontal="left" vertical="center"/>
    </xf>
    <xf numFmtId="14" fontId="9" fillId="2" borderId="0" xfId="66" applyNumberFormat="1" applyFont="1" applyFill="1" applyAlignment="1">
      <alignment vertical="center"/>
    </xf>
    <xf numFmtId="43" fontId="9" fillId="0" borderId="0" xfId="64" applyFont="1" applyAlignment="1">
      <alignment horizontal="left" vertical="center"/>
    </xf>
    <xf numFmtId="0" fontId="0" fillId="8" borderId="0" xfId="0" applyFill="1" applyAlignment="1">
      <alignment vertical="center"/>
    </xf>
    <xf numFmtId="0" fontId="26" fillId="8" borderId="0" xfId="0" applyFont="1" applyFill="1" applyAlignment="1">
      <alignment vertical="center"/>
    </xf>
    <xf numFmtId="0" fontId="5" fillId="8" borderId="11" xfId="0" applyFont="1" applyFill="1" applyBorder="1" applyAlignment="1">
      <alignment vertical="center"/>
    </xf>
    <xf numFmtId="0" fontId="0" fillId="0" borderId="0" xfId="0" applyAlignment="1">
      <alignment wrapText="1"/>
    </xf>
    <xf numFmtId="0" fontId="7" fillId="13" borderId="1" xfId="0" applyFont="1" applyFill="1" applyBorder="1" applyAlignment="1">
      <alignment horizontal="center" vertical="center"/>
    </xf>
    <xf numFmtId="172" fontId="7" fillId="13" borderId="1" xfId="0" applyNumberFormat="1" applyFont="1" applyFill="1" applyBorder="1" applyAlignment="1">
      <alignment horizontal="center" vertical="center"/>
    </xf>
    <xf numFmtId="0" fontId="7" fillId="13" borderId="11" xfId="0" applyFont="1" applyFill="1" applyBorder="1" applyAlignment="1">
      <alignment horizontal="center" vertical="center" wrapText="1"/>
    </xf>
    <xf numFmtId="0" fontId="7" fillId="13" borderId="1" xfId="0" applyFont="1" applyFill="1" applyBorder="1" applyAlignment="1">
      <alignment horizontal="center" vertical="center" wrapText="1"/>
    </xf>
    <xf numFmtId="41" fontId="7" fillId="13" borderId="1" xfId="7" applyNumberFormat="1" applyFont="1" applyFill="1" applyBorder="1" applyAlignment="1">
      <alignment horizontal="center" vertical="center" wrapText="1"/>
    </xf>
    <xf numFmtId="4" fontId="7" fillId="13" borderId="1" xfId="0" applyNumberFormat="1" applyFont="1" applyFill="1" applyBorder="1" applyAlignment="1">
      <alignment horizontal="center" vertical="center"/>
    </xf>
    <xf numFmtId="1" fontId="7" fillId="13" borderId="1" xfId="0" applyNumberFormat="1" applyFont="1" applyFill="1" applyBorder="1" applyAlignment="1">
      <alignment horizontal="center" vertical="center"/>
    </xf>
    <xf numFmtId="1" fontId="7" fillId="13" borderId="11" xfId="0" applyNumberFormat="1" applyFont="1" applyFill="1" applyBorder="1" applyAlignment="1">
      <alignment horizontal="center" vertical="center" wrapText="1"/>
    </xf>
    <xf numFmtId="3" fontId="7" fillId="13" borderId="11" xfId="0" applyNumberFormat="1" applyFont="1" applyFill="1" applyBorder="1" applyAlignment="1">
      <alignment horizontal="center" vertical="center" wrapText="1"/>
    </xf>
    <xf numFmtId="38" fontId="7" fillId="0" borderId="1" xfId="7" applyNumberFormat="1" applyFont="1" applyBorder="1" applyAlignment="1">
      <alignment vertical="center"/>
    </xf>
    <xf numFmtId="38" fontId="7" fillId="0" borderId="1" xfId="0" applyNumberFormat="1" applyFont="1" applyBorder="1" applyAlignment="1">
      <alignment vertical="center"/>
    </xf>
    <xf numFmtId="38" fontId="7" fillId="0" borderId="4" xfId="7" applyNumberFormat="1" applyFont="1" applyBorder="1" applyAlignment="1">
      <alignment vertical="center"/>
    </xf>
    <xf numFmtId="38" fontId="7" fillId="0" borderId="5" xfId="0" applyNumberFormat="1" applyFont="1" applyBorder="1" applyAlignment="1">
      <alignment vertical="center"/>
    </xf>
    <xf numFmtId="38" fontId="7" fillId="0" borderId="5" xfId="7" applyNumberFormat="1" applyFont="1" applyBorder="1" applyAlignment="1">
      <alignment vertical="center"/>
    </xf>
    <xf numFmtId="38" fontId="7" fillId="0" borderId="1" xfId="7" applyNumberFormat="1" applyFont="1" applyFill="1" applyBorder="1" applyAlignment="1">
      <alignment vertical="center"/>
    </xf>
    <xf numFmtId="38" fontId="7" fillId="0" borderId="4" xfId="0" applyNumberFormat="1" applyFont="1" applyBorder="1" applyAlignment="1">
      <alignment vertical="center"/>
    </xf>
    <xf numFmtId="38" fontId="7" fillId="0" borderId="8" xfId="7" applyNumberFormat="1" applyFont="1" applyBorder="1" applyAlignment="1">
      <alignment vertical="center"/>
    </xf>
    <xf numFmtId="38" fontId="7" fillId="0" borderId="11" xfId="63" applyNumberFormat="1" applyFont="1" applyBorder="1" applyAlignment="1">
      <alignment horizontal="right" vertical="center"/>
    </xf>
    <xf numFmtId="38" fontId="5" fillId="0" borderId="11" xfId="0" applyNumberFormat="1" applyFont="1" applyBorder="1" applyAlignment="1">
      <alignment horizontal="right" vertical="center"/>
    </xf>
    <xf numFmtId="38" fontId="7" fillId="0" borderId="12" xfId="0" applyNumberFormat="1" applyFont="1" applyBorder="1" applyAlignment="1">
      <alignment horizontal="right" vertical="center"/>
    </xf>
    <xf numFmtId="38" fontId="7" fillId="0" borderId="11" xfId="0" applyNumberFormat="1" applyFont="1" applyBorder="1" applyAlignment="1">
      <alignment vertical="center"/>
    </xf>
    <xf numFmtId="38" fontId="7" fillId="0" borderId="12" xfId="0" applyNumberFormat="1" applyFont="1" applyBorder="1" applyAlignment="1">
      <alignment vertical="center"/>
    </xf>
    <xf numFmtId="38" fontId="7" fillId="0" borderId="6" xfId="0" applyNumberFormat="1" applyFont="1" applyBorder="1" applyAlignment="1">
      <alignment vertical="center"/>
    </xf>
    <xf numFmtId="38" fontId="5" fillId="0" borderId="1" xfId="0" applyNumberFormat="1" applyFont="1" applyBorder="1" applyAlignment="1">
      <alignment vertical="center"/>
    </xf>
    <xf numFmtId="38" fontId="7" fillId="0" borderId="8" xfId="0" applyNumberFormat="1" applyFont="1" applyBorder="1" applyAlignment="1">
      <alignment vertical="center"/>
    </xf>
    <xf numFmtId="38" fontId="7" fillId="0" borderId="7" xfId="0" applyNumberFormat="1" applyFont="1" applyBorder="1" applyAlignment="1">
      <alignment vertical="center"/>
    </xf>
    <xf numFmtId="38" fontId="7" fillId="0" borderId="11" xfId="7" applyNumberFormat="1" applyFont="1" applyFill="1" applyBorder="1" applyAlignment="1">
      <alignment vertical="center"/>
    </xf>
    <xf numFmtId="38" fontId="7" fillId="0" borderId="5" xfId="7" applyNumberFormat="1" applyFont="1" applyFill="1" applyBorder="1" applyAlignment="1">
      <alignment vertical="center"/>
    </xf>
    <xf numFmtId="38" fontId="7" fillId="0" borderId="1" xfId="7" applyNumberFormat="1" applyFont="1" applyBorder="1" applyAlignment="1">
      <alignment horizontal="center" vertical="center"/>
    </xf>
    <xf numFmtId="38" fontId="7" fillId="0" borderId="1" xfId="7" applyNumberFormat="1" applyFont="1" applyBorder="1" applyAlignment="1">
      <alignment horizontal="right" vertical="center"/>
    </xf>
    <xf numFmtId="38" fontId="7" fillId="0" borderId="9" xfId="0" applyNumberFormat="1" applyFont="1" applyBorder="1" applyAlignment="1">
      <alignment vertical="center"/>
    </xf>
    <xf numFmtId="172" fontId="7" fillId="13" borderId="11" xfId="0" applyNumberFormat="1" applyFont="1" applyFill="1" applyBorder="1" applyAlignment="1">
      <alignment horizontal="center" vertical="center"/>
    </xf>
    <xf numFmtId="0" fontId="7" fillId="13" borderId="18" xfId="0" applyFont="1" applyFill="1" applyBorder="1" applyAlignment="1">
      <alignment vertical="center"/>
    </xf>
    <xf numFmtId="0" fontId="7" fillId="13" borderId="20" xfId="0" applyFont="1" applyFill="1" applyBorder="1" applyAlignment="1">
      <alignment vertical="center"/>
    </xf>
    <xf numFmtId="38" fontId="7" fillId="0" borderId="18" xfId="0" applyNumberFormat="1" applyFont="1" applyBorder="1" applyAlignment="1">
      <alignment vertical="center"/>
    </xf>
    <xf numFmtId="38" fontId="5" fillId="0" borderId="11" xfId="0" applyNumberFormat="1" applyFont="1" applyBorder="1" applyAlignment="1">
      <alignment vertical="center"/>
    </xf>
    <xf numFmtId="38" fontId="29" fillId="0" borderId="11" xfId="0" applyNumberFormat="1" applyFont="1" applyBorder="1" applyAlignment="1">
      <alignment vertical="center"/>
    </xf>
    <xf numFmtId="38" fontId="7" fillId="0" borderId="10" xfId="0" applyNumberFormat="1" applyFont="1" applyBorder="1" applyAlignment="1">
      <alignment vertical="center"/>
    </xf>
    <xf numFmtId="38" fontId="7" fillId="10" borderId="1" xfId="0" applyNumberFormat="1" applyFont="1" applyFill="1" applyBorder="1" applyAlignment="1">
      <alignment vertical="center"/>
    </xf>
    <xf numFmtId="38" fontId="7" fillId="10" borderId="4" xfId="0" applyNumberFormat="1" applyFont="1" applyFill="1" applyBorder="1" applyAlignment="1">
      <alignment vertical="center"/>
    </xf>
    <xf numFmtId="38" fontId="7" fillId="8" borderId="4" xfId="0" applyNumberFormat="1" applyFont="1" applyFill="1" applyBorder="1" applyAlignment="1">
      <alignment vertical="center"/>
    </xf>
    <xf numFmtId="38" fontId="7" fillId="8" borderId="9" xfId="0" applyNumberFormat="1" applyFont="1" applyFill="1" applyBorder="1" applyAlignment="1">
      <alignment vertical="center"/>
    </xf>
    <xf numFmtId="38" fontId="7" fillId="8" borderId="5" xfId="0" applyNumberFormat="1" applyFont="1" applyFill="1" applyBorder="1" applyAlignment="1">
      <alignment vertical="center"/>
    </xf>
    <xf numFmtId="38" fontId="7" fillId="8" borderId="1" xfId="0" applyNumberFormat="1" applyFont="1" applyFill="1" applyBorder="1" applyAlignment="1">
      <alignment vertical="center"/>
    </xf>
    <xf numFmtId="38" fontId="7" fillId="0" borderId="13" xfId="0" applyNumberFormat="1" applyFont="1" applyBorder="1" applyAlignment="1">
      <alignment vertical="center"/>
    </xf>
    <xf numFmtId="38" fontId="7" fillId="8" borderId="13" xfId="0" applyNumberFormat="1" applyFont="1" applyFill="1" applyBorder="1" applyAlignment="1">
      <alignment vertical="center"/>
    </xf>
    <xf numFmtId="38" fontId="7" fillId="0" borderId="15" xfId="0" applyNumberFormat="1" applyFont="1" applyBorder="1" applyAlignment="1">
      <alignment vertical="center"/>
    </xf>
    <xf numFmtId="38" fontId="7" fillId="8" borderId="15" xfId="0" applyNumberFormat="1" applyFont="1" applyFill="1" applyBorder="1" applyAlignment="1">
      <alignment vertical="center"/>
    </xf>
    <xf numFmtId="38" fontId="7" fillId="10" borderId="12" xfId="0" applyNumberFormat="1" applyFont="1" applyFill="1" applyBorder="1" applyAlignment="1">
      <alignment vertical="center"/>
    </xf>
    <xf numFmtId="38" fontId="7" fillId="8" borderId="12" xfId="0" applyNumberFormat="1" applyFont="1" applyFill="1" applyBorder="1" applyAlignment="1">
      <alignment vertical="center"/>
    </xf>
    <xf numFmtId="38" fontId="7" fillId="0" borderId="1" xfId="0" applyNumberFormat="1" applyFont="1" applyBorder="1" applyAlignment="1">
      <alignment vertical="center" wrapText="1"/>
    </xf>
    <xf numFmtId="38" fontId="7" fillId="0" borderId="5" xfId="0" applyNumberFormat="1" applyFont="1" applyBorder="1" applyAlignment="1">
      <alignment vertical="center" wrapText="1"/>
    </xf>
    <xf numFmtId="38" fontId="7" fillId="0" borderId="11" xfId="0" applyNumberFormat="1" applyFont="1" applyBorder="1" applyAlignment="1">
      <alignment horizontal="right" vertical="center"/>
    </xf>
    <xf numFmtId="38" fontId="7" fillId="12" borderId="11" xfId="0" applyNumberFormat="1" applyFont="1" applyFill="1" applyBorder="1" applyAlignment="1">
      <alignment horizontal="right" vertical="center" wrapText="1"/>
    </xf>
    <xf numFmtId="38" fontId="7" fillId="8" borderId="11" xfId="0" applyNumberFormat="1" applyFont="1" applyFill="1" applyBorder="1" applyAlignment="1">
      <alignment horizontal="right" vertical="center" wrapText="1"/>
    </xf>
    <xf numFmtId="38" fontId="7" fillId="12" borderId="11" xfId="0" applyNumberFormat="1" applyFont="1" applyFill="1" applyBorder="1" applyAlignment="1">
      <alignment vertical="center"/>
    </xf>
    <xf numFmtId="38" fontId="7" fillId="8" borderId="11" xfId="0" applyNumberFormat="1" applyFont="1" applyFill="1" applyBorder="1" applyAlignment="1">
      <alignment vertical="center"/>
    </xf>
    <xf numFmtId="172" fontId="7" fillId="13" borderId="15" xfId="0" applyNumberFormat="1" applyFont="1" applyFill="1" applyBorder="1" applyAlignment="1">
      <alignment horizontal="center" vertical="center"/>
    </xf>
    <xf numFmtId="0" fontId="7" fillId="13" borderId="15" xfId="0" applyFont="1" applyFill="1" applyBorder="1" applyAlignment="1">
      <alignment horizontal="center" vertical="center" wrapText="1"/>
    </xf>
    <xf numFmtId="37" fontId="7" fillId="13" borderId="15" xfId="0" applyNumberFormat="1" applyFont="1" applyFill="1" applyBorder="1" applyAlignment="1">
      <alignment horizontal="center" vertical="center" wrapText="1"/>
    </xf>
    <xf numFmtId="8" fontId="7" fillId="0" borderId="19" xfId="0" applyNumberFormat="1" applyFont="1" applyBorder="1" applyAlignment="1">
      <alignment vertical="center"/>
    </xf>
    <xf numFmtId="8" fontId="15" fillId="8" borderId="13" xfId="0" applyNumberFormat="1" applyFont="1" applyFill="1" applyBorder="1" applyAlignment="1">
      <alignment vertical="center"/>
    </xf>
    <xf numFmtId="0" fontId="7" fillId="8" borderId="18" xfId="0" applyFont="1" applyFill="1" applyBorder="1" applyAlignment="1">
      <alignment vertical="center"/>
    </xf>
    <xf numFmtId="3" fontId="7" fillId="8" borderId="19" xfId="0" applyNumberFormat="1" applyFont="1" applyFill="1" applyBorder="1" applyAlignment="1">
      <alignment vertical="center"/>
    </xf>
    <xf numFmtId="8" fontId="5" fillId="8" borderId="11" xfId="0" applyNumberFormat="1" applyFont="1" applyFill="1" applyBorder="1" applyAlignment="1">
      <alignment vertical="center"/>
    </xf>
    <xf numFmtId="0" fontId="5" fillId="13" borderId="15" xfId="0" applyFont="1" applyFill="1" applyBorder="1" applyAlignment="1">
      <alignment horizontal="center" vertical="center" wrapText="1"/>
    </xf>
    <xf numFmtId="0" fontId="7" fillId="8" borderId="18" xfId="0" applyFont="1" applyFill="1" applyBorder="1" applyAlignment="1">
      <alignment horizontal="center" vertical="center"/>
    </xf>
    <xf numFmtId="0" fontId="7" fillId="13" borderId="1" xfId="66" applyFont="1" applyFill="1" applyBorder="1" applyAlignment="1">
      <alignment horizontal="center" vertical="center"/>
    </xf>
    <xf numFmtId="0" fontId="7" fillId="13" borderId="1" xfId="66" applyFont="1" applyFill="1" applyBorder="1" applyAlignment="1">
      <alignment vertical="center"/>
    </xf>
    <xf numFmtId="0" fontId="5" fillId="13" borderId="1" xfId="0" applyFont="1" applyFill="1" applyBorder="1" applyAlignment="1">
      <alignment horizontal="center" vertical="center"/>
    </xf>
    <xf numFmtId="0" fontId="7" fillId="13" borderId="11" xfId="306" applyFont="1" applyFill="1" applyBorder="1" applyAlignment="1">
      <alignment horizontal="center" vertical="center"/>
    </xf>
    <xf numFmtId="0" fontId="7" fillId="13" borderId="17" xfId="306" applyFont="1" applyFill="1" applyBorder="1" applyAlignment="1">
      <alignment vertical="center"/>
    </xf>
    <xf numFmtId="3" fontId="7" fillId="13" borderId="2" xfId="306" applyNumberFormat="1" applyFont="1" applyFill="1" applyBorder="1" applyAlignment="1">
      <alignment horizontal="center" vertical="center"/>
    </xf>
    <xf numFmtId="0" fontId="7" fillId="13" borderId="2" xfId="306" applyFont="1" applyFill="1" applyBorder="1" applyAlignment="1">
      <alignment horizontal="center" vertical="center"/>
    </xf>
    <xf numFmtId="166" fontId="15" fillId="0" borderId="2" xfId="307" applyNumberFormat="1" applyFont="1" applyBorder="1" applyAlignment="1">
      <alignment vertical="center"/>
    </xf>
    <xf numFmtId="38" fontId="7" fillId="8" borderId="8" xfId="0" applyNumberFormat="1" applyFont="1" applyFill="1" applyBorder="1" applyAlignment="1">
      <alignment vertical="center"/>
    </xf>
    <xf numFmtId="38" fontId="9" fillId="0" borderId="0" xfId="0" applyNumberFormat="1" applyFont="1" applyAlignment="1">
      <alignment horizontal="right"/>
    </xf>
    <xf numFmtId="40" fontId="9" fillId="0" borderId="0" xfId="0" applyNumberFormat="1" applyFont="1" applyAlignment="1">
      <alignment horizontal="right"/>
    </xf>
    <xf numFmtId="38" fontId="7" fillId="8" borderId="18" xfId="0" applyNumberFormat="1" applyFont="1" applyFill="1" applyBorder="1" applyAlignment="1">
      <alignment vertical="center"/>
    </xf>
    <xf numFmtId="3" fontId="7" fillId="8" borderId="18" xfId="0" applyNumberFormat="1" applyFont="1" applyFill="1" applyBorder="1" applyAlignment="1">
      <alignment vertical="center"/>
    </xf>
    <xf numFmtId="38" fontId="5" fillId="8" borderId="11" xfId="0" applyNumberFormat="1" applyFont="1" applyFill="1" applyBorder="1" applyAlignment="1">
      <alignment vertical="center"/>
    </xf>
    <xf numFmtId="0" fontId="7" fillId="0" borderId="13" xfId="0" applyFont="1" applyBorder="1" applyAlignment="1">
      <alignment vertical="center"/>
    </xf>
    <xf numFmtId="38" fontId="7" fillId="8" borderId="11" xfId="0" applyNumberFormat="1" applyFont="1" applyFill="1" applyBorder="1" applyAlignment="1">
      <alignment horizontal="right" vertical="center"/>
    </xf>
    <xf numFmtId="0" fontId="7" fillId="8" borderId="11" xfId="0" applyFont="1" applyFill="1" applyBorder="1" applyAlignment="1">
      <alignment vertical="center" wrapText="1"/>
    </xf>
    <xf numFmtId="38" fontId="7" fillId="8" borderId="13" xfId="0" applyNumberFormat="1" applyFont="1" applyFill="1" applyBorder="1" applyAlignment="1">
      <alignment horizontal="right" vertical="center"/>
    </xf>
    <xf numFmtId="9" fontId="7" fillId="0" borderId="13" xfId="0" applyNumberFormat="1" applyFont="1" applyBorder="1" applyAlignment="1">
      <alignment horizontal="right" vertical="center"/>
    </xf>
    <xf numFmtId="3" fontId="7" fillId="8" borderId="11" xfId="0" applyNumberFormat="1" applyFont="1" applyFill="1" applyBorder="1" applyAlignment="1">
      <alignment horizontal="right" vertical="center"/>
    </xf>
    <xf numFmtId="168" fontId="7" fillId="8" borderId="11" xfId="0" applyNumberFormat="1" applyFont="1" applyFill="1" applyBorder="1" applyAlignment="1">
      <alignment vertical="center"/>
    </xf>
    <xf numFmtId="3" fontId="5" fillId="8" borderId="11" xfId="0" applyNumberFormat="1" applyFont="1" applyFill="1" applyBorder="1" applyAlignment="1">
      <alignment vertical="center"/>
    </xf>
    <xf numFmtId="10" fontId="5" fillId="8" borderId="11" xfId="0" applyNumberFormat="1" applyFont="1" applyFill="1" applyBorder="1" applyAlignment="1">
      <alignment vertical="center"/>
    </xf>
    <xf numFmtId="0" fontId="6" fillId="8" borderId="11" xfId="0" applyFont="1" applyFill="1" applyBorder="1" applyAlignment="1">
      <alignment vertical="center"/>
    </xf>
    <xf numFmtId="3" fontId="7" fillId="8" borderId="26" xfId="0" applyNumberFormat="1" applyFont="1" applyFill="1" applyBorder="1" applyAlignment="1">
      <alignment vertical="center"/>
    </xf>
    <xf numFmtId="3" fontId="7" fillId="8" borderId="15" xfId="0" applyNumberFormat="1" applyFont="1" applyFill="1" applyBorder="1" applyAlignment="1">
      <alignment vertical="center"/>
    </xf>
    <xf numFmtId="3" fontId="7" fillId="8" borderId="13" xfId="0" applyNumberFormat="1" applyFont="1" applyFill="1" applyBorder="1" applyAlignment="1">
      <alignment vertical="center"/>
    </xf>
    <xf numFmtId="168" fontId="7" fillId="8" borderId="26" xfId="0" applyNumberFormat="1" applyFont="1" applyFill="1" applyBorder="1" applyAlignment="1">
      <alignment horizontal="right" vertical="center"/>
    </xf>
    <xf numFmtId="3" fontId="5" fillId="8" borderId="13" xfId="0" applyNumberFormat="1" applyFont="1" applyFill="1" applyBorder="1" applyAlignment="1">
      <alignment vertical="center"/>
    </xf>
    <xf numFmtId="3" fontId="7" fillId="8" borderId="26" xfId="0" applyNumberFormat="1" applyFont="1" applyFill="1" applyBorder="1" applyAlignment="1">
      <alignment horizontal="right" vertical="center"/>
    </xf>
    <xf numFmtId="3" fontId="7" fillId="8" borderId="18" xfId="0" applyNumberFormat="1" applyFont="1" applyFill="1" applyBorder="1" applyAlignment="1">
      <alignment horizontal="right" vertical="center"/>
    </xf>
    <xf numFmtId="168" fontId="7" fillId="8" borderId="20" xfId="0" applyNumberFormat="1" applyFont="1" applyFill="1" applyBorder="1" applyAlignment="1">
      <alignment vertical="center"/>
    </xf>
    <xf numFmtId="3" fontId="7" fillId="12" borderId="11" xfId="0" applyNumberFormat="1" applyFont="1" applyFill="1" applyBorder="1" applyAlignment="1">
      <alignment vertical="center"/>
    </xf>
    <xf numFmtId="3" fontId="5" fillId="12" borderId="11" xfId="0" applyNumberFormat="1" applyFont="1" applyFill="1" applyBorder="1" applyAlignment="1">
      <alignment vertical="center"/>
    </xf>
    <xf numFmtId="0" fontId="37" fillId="0" borderId="0" xfId="0" applyFont="1" applyAlignment="1">
      <alignment vertical="center"/>
    </xf>
    <xf numFmtId="0" fontId="0" fillId="0" borderId="0" xfId="0" applyAlignment="1">
      <alignment horizontal="left" vertical="center"/>
    </xf>
    <xf numFmtId="169" fontId="0" fillId="0" borderId="0" xfId="0" applyNumberFormat="1" applyAlignment="1">
      <alignment horizontal="left" vertical="center"/>
    </xf>
    <xf numFmtId="0" fontId="18" fillId="0" borderId="0" xfId="0" applyFont="1" applyAlignment="1">
      <alignment horizontal="left" vertical="center"/>
    </xf>
    <xf numFmtId="0" fontId="17" fillId="8" borderId="0" xfId="0" applyFont="1" applyFill="1" applyAlignment="1">
      <alignment horizontal="left" vertical="center"/>
    </xf>
    <xf numFmtId="0" fontId="7" fillId="0" borderId="0" xfId="66" applyFont="1" applyAlignment="1">
      <alignment horizontal="left" vertical="center"/>
    </xf>
    <xf numFmtId="0" fontId="16" fillId="0" borderId="0" xfId="0" applyFont="1" applyAlignment="1">
      <alignment horizontal="left" vertical="center"/>
    </xf>
    <xf numFmtId="38" fontId="7" fillId="0" borderId="31" xfId="7" applyNumberFormat="1" applyFont="1" applyBorder="1" applyAlignment="1">
      <alignment vertical="center"/>
    </xf>
    <xf numFmtId="38" fontId="7" fillId="0" borderId="31" xfId="0" applyNumberFormat="1" applyFont="1" applyBorder="1" applyAlignment="1">
      <alignment vertical="center"/>
    </xf>
    <xf numFmtId="3" fontId="7" fillId="0" borderId="15" xfId="63" applyNumberFormat="1" applyFont="1" applyBorder="1" applyAlignment="1">
      <alignment horizontal="right" vertical="center"/>
    </xf>
    <xf numFmtId="0" fontId="7" fillId="8" borderId="15" xfId="0" applyFont="1" applyFill="1" applyBorder="1" applyAlignment="1">
      <alignment horizontal="center" vertical="center" wrapText="1"/>
    </xf>
    <xf numFmtId="172" fontId="7" fillId="8" borderId="11" xfId="0" applyNumberFormat="1" applyFont="1" applyFill="1" applyBorder="1" applyAlignment="1">
      <alignment horizontal="center" vertical="center"/>
    </xf>
    <xf numFmtId="1" fontId="7" fillId="8" borderId="11" xfId="0" applyNumberFormat="1" applyFont="1" applyFill="1" applyBorder="1" applyAlignment="1">
      <alignment horizontal="center" vertical="center"/>
    </xf>
    <xf numFmtId="0" fontId="9" fillId="0" borderId="0" xfId="0" applyFont="1" applyAlignment="1">
      <alignment horizontal="left" vertical="center"/>
    </xf>
    <xf numFmtId="172" fontId="12" fillId="8" borderId="0" xfId="0" applyNumberFormat="1" applyFont="1" applyFill="1" applyAlignment="1">
      <alignment horizontal="left" vertical="center"/>
    </xf>
    <xf numFmtId="38" fontId="9" fillId="0" borderId="0" xfId="0" applyNumberFormat="1" applyFont="1" applyAlignment="1">
      <alignment vertical="center"/>
    </xf>
    <xf numFmtId="0" fontId="7" fillId="13" borderId="11" xfId="0" applyFont="1" applyFill="1" applyBorder="1" applyAlignment="1">
      <alignment horizontal="left" vertical="center"/>
    </xf>
    <xf numFmtId="38" fontId="7" fillId="13" borderId="11" xfId="0" applyNumberFormat="1" applyFont="1" applyFill="1" applyBorder="1" applyAlignment="1">
      <alignment horizontal="center" vertical="center" wrapText="1"/>
    </xf>
    <xf numFmtId="38" fontId="9" fillId="0" borderId="0" xfId="0" applyNumberFormat="1" applyFont="1"/>
    <xf numFmtId="0" fontId="7" fillId="13" borderId="18" xfId="0" applyFont="1" applyFill="1" applyBorder="1" applyAlignment="1">
      <alignment horizontal="center" vertical="center" wrapText="1"/>
    </xf>
    <xf numFmtId="2" fontId="0" fillId="0" borderId="0" xfId="0" applyNumberFormat="1"/>
    <xf numFmtId="3" fontId="7" fillId="0" borderId="26" xfId="0" applyNumberFormat="1" applyFont="1" applyBorder="1" applyAlignment="1">
      <alignment vertical="center"/>
    </xf>
    <xf numFmtId="3" fontId="7" fillId="0" borderId="15" xfId="0" applyNumberFormat="1" applyFont="1" applyBorder="1" applyAlignment="1">
      <alignment vertical="center"/>
    </xf>
    <xf numFmtId="10" fontId="9" fillId="0" borderId="0" xfId="0" applyNumberFormat="1" applyFont="1" applyAlignment="1">
      <alignment vertical="center"/>
    </xf>
    <xf numFmtId="3" fontId="0" fillId="0" borderId="0" xfId="0" applyNumberFormat="1"/>
    <xf numFmtId="38" fontId="0" fillId="0" borderId="0" xfId="0" applyNumberFormat="1"/>
    <xf numFmtId="38" fontId="7" fillId="0" borderId="0" xfId="0" applyNumberFormat="1" applyFont="1" applyAlignment="1">
      <alignment vertical="center"/>
    </xf>
    <xf numFmtId="2" fontId="7" fillId="0" borderId="14" xfId="0" applyNumberFormat="1" applyFont="1" applyBorder="1" applyAlignment="1">
      <alignment vertical="center"/>
    </xf>
    <xf numFmtId="38" fontId="7" fillId="0" borderId="32" xfId="0" applyNumberFormat="1" applyFont="1" applyBorder="1" applyAlignment="1">
      <alignment vertical="center"/>
    </xf>
    <xf numFmtId="38" fontId="7" fillId="0" borderId="33" xfId="0" applyNumberFormat="1" applyFont="1" applyBorder="1" applyAlignment="1">
      <alignment vertical="center"/>
    </xf>
    <xf numFmtId="0" fontId="7" fillId="13" borderId="4" xfId="0" applyFont="1" applyFill="1" applyBorder="1" applyAlignment="1">
      <alignment horizontal="center" vertical="center"/>
    </xf>
    <xf numFmtId="0" fontId="7" fillId="0" borderId="11" xfId="0" applyFont="1" applyBorder="1"/>
    <xf numFmtId="38" fontId="7" fillId="8" borderId="11" xfId="0" applyNumberFormat="1" applyFont="1" applyFill="1" applyBorder="1" applyAlignment="1">
      <alignment horizontal="right"/>
    </xf>
    <xf numFmtId="38" fontId="7" fillId="8" borderId="18" xfId="0" applyNumberFormat="1" applyFont="1" applyFill="1" applyBorder="1" applyAlignment="1">
      <alignment horizontal="right"/>
    </xf>
    <xf numFmtId="169" fontId="7" fillId="8" borderId="11" xfId="0" applyNumberFormat="1" applyFont="1" applyFill="1" applyBorder="1" applyAlignment="1">
      <alignment horizontal="right"/>
    </xf>
    <xf numFmtId="0" fontId="16" fillId="0" borderId="11" xfId="0" applyFont="1" applyBorder="1"/>
    <xf numFmtId="0" fontId="16" fillId="8" borderId="11" xfId="0" applyFont="1" applyFill="1" applyBorder="1"/>
    <xf numFmtId="0" fontId="38" fillId="0" borderId="11" xfId="0" applyFont="1" applyBorder="1"/>
    <xf numFmtId="40" fontId="7" fillId="8" borderId="11" xfId="0" applyNumberFormat="1" applyFont="1" applyFill="1" applyBorder="1" applyAlignment="1">
      <alignment horizontal="right"/>
    </xf>
    <xf numFmtId="40" fontId="7" fillId="12" borderId="11" xfId="0" applyNumberFormat="1" applyFont="1" applyFill="1" applyBorder="1" applyAlignment="1">
      <alignment horizontal="right"/>
    </xf>
    <xf numFmtId="38" fontId="7" fillId="8" borderId="11" xfId="0" applyNumberFormat="1" applyFont="1" applyFill="1" applyBorder="1"/>
    <xf numFmtId="0" fontId="7" fillId="0" borderId="0" xfId="66" applyFont="1" applyAlignment="1">
      <alignment vertical="center" wrapText="1"/>
    </xf>
    <xf numFmtId="0" fontId="7" fillId="13" borderId="11" xfId="0" applyFont="1" applyFill="1" applyBorder="1" applyAlignment="1">
      <alignment horizontal="left" vertical="center" wrapText="1"/>
    </xf>
    <xf numFmtId="0" fontId="7" fillId="13" borderId="11" xfId="0" applyFont="1" applyFill="1" applyBorder="1" applyAlignment="1">
      <alignment horizontal="center" wrapText="1"/>
    </xf>
    <xf numFmtId="0" fontId="0" fillId="8" borderId="0" xfId="0" applyFill="1"/>
    <xf numFmtId="9" fontId="7" fillId="0" borderId="11" xfId="0" applyNumberFormat="1" applyFont="1" applyBorder="1" applyAlignment="1">
      <alignment vertical="center"/>
    </xf>
    <xf numFmtId="6" fontId="7" fillId="0" borderId="11" xfId="0" applyNumberFormat="1" applyFont="1" applyBorder="1" applyAlignment="1">
      <alignment vertical="center"/>
    </xf>
    <xf numFmtId="6" fontId="7" fillId="0" borderId="13" xfId="0" applyNumberFormat="1" applyFont="1" applyBorder="1" applyAlignment="1">
      <alignment vertical="center"/>
    </xf>
    <xf numFmtId="0" fontId="7" fillId="8" borderId="11" xfId="63" applyFont="1" applyFill="1" applyBorder="1" applyAlignment="1">
      <alignment horizontal="center" vertical="center"/>
    </xf>
    <xf numFmtId="0" fontId="1" fillId="8" borderId="0" xfId="306" applyFill="1" applyAlignment="1">
      <alignment vertical="center"/>
    </xf>
    <xf numFmtId="0" fontId="35" fillId="8" borderId="0" xfId="305" applyFont="1" applyFill="1" applyAlignment="1">
      <alignment vertical="center"/>
    </xf>
    <xf numFmtId="0" fontId="7" fillId="8" borderId="0" xfId="306" applyFont="1" applyFill="1" applyAlignment="1">
      <alignment vertical="center"/>
    </xf>
    <xf numFmtId="38" fontId="10" fillId="8" borderId="11" xfId="0" applyNumberFormat="1" applyFont="1" applyFill="1" applyBorder="1" applyAlignment="1">
      <alignment vertical="center"/>
    </xf>
    <xf numFmtId="38" fontId="7" fillId="8" borderId="11" xfId="63" applyNumberFormat="1" applyFont="1" applyFill="1" applyBorder="1" applyAlignment="1">
      <alignment vertical="center"/>
    </xf>
    <xf numFmtId="38" fontId="7" fillId="0" borderId="23" xfId="0" applyNumberFormat="1" applyFont="1" applyBorder="1" applyAlignment="1">
      <alignment vertical="center"/>
    </xf>
    <xf numFmtId="9" fontId="7" fillId="0" borderId="18" xfId="0" applyNumberFormat="1" applyFont="1" applyBorder="1" applyAlignment="1">
      <alignment vertical="center"/>
    </xf>
    <xf numFmtId="8" fontId="7" fillId="0" borderId="23" xfId="0" applyNumberFormat="1" applyFont="1" applyBorder="1" applyAlignment="1">
      <alignment vertical="center"/>
    </xf>
    <xf numFmtId="6" fontId="7" fillId="0" borderId="24" xfId="0" applyNumberFormat="1" applyFont="1" applyBorder="1" applyAlignment="1">
      <alignment vertical="center"/>
    </xf>
    <xf numFmtId="6" fontId="7" fillId="0" borderId="18" xfId="0" applyNumberFormat="1" applyFont="1" applyBorder="1" applyAlignment="1">
      <alignment vertical="center"/>
    </xf>
    <xf numFmtId="0" fontId="7" fillId="10" borderId="1" xfId="0" applyFont="1" applyFill="1" applyBorder="1" applyAlignment="1">
      <alignment vertical="center"/>
    </xf>
    <xf numFmtId="169" fontId="7" fillId="8" borderId="11" xfId="0" applyNumberFormat="1" applyFont="1" applyFill="1" applyBorder="1" applyAlignment="1">
      <alignment vertical="center"/>
    </xf>
    <xf numFmtId="0" fontId="35" fillId="0" borderId="0" xfId="305" applyFont="1" applyAlignment="1">
      <alignment vertical="center"/>
    </xf>
    <xf numFmtId="169" fontId="7" fillId="12" borderId="11" xfId="0" applyNumberFormat="1" applyFont="1" applyFill="1" applyBorder="1" applyAlignment="1">
      <alignment vertical="center"/>
    </xf>
    <xf numFmtId="0" fontId="39" fillId="0" borderId="0" xfId="306" applyFont="1" applyAlignment="1">
      <alignment vertical="center"/>
    </xf>
    <xf numFmtId="0" fontId="7" fillId="0" borderId="19" xfId="0" applyFont="1" applyBorder="1" applyAlignment="1">
      <alignment vertical="center"/>
    </xf>
    <xf numFmtId="38" fontId="7" fillId="0" borderId="24" xfId="0" applyNumberFormat="1" applyFont="1" applyBorder="1" applyAlignment="1">
      <alignment vertical="center"/>
    </xf>
    <xf numFmtId="10" fontId="7" fillId="0" borderId="26" xfId="0" applyNumberFormat="1" applyFont="1" applyBorder="1" applyAlignment="1">
      <alignment vertical="center"/>
    </xf>
    <xf numFmtId="3" fontId="7" fillId="0" borderId="19" xfId="0" applyNumberFormat="1" applyFont="1" applyBorder="1" applyAlignment="1">
      <alignment vertical="center"/>
    </xf>
    <xf numFmtId="4" fontId="28" fillId="8" borderId="0" xfId="0" applyNumberFormat="1" applyFont="1" applyFill="1" applyAlignment="1">
      <alignment vertical="center"/>
    </xf>
    <xf numFmtId="38" fontId="9" fillId="8" borderId="0" xfId="0" applyNumberFormat="1" applyFont="1" applyFill="1" applyAlignment="1">
      <alignment horizontal="right"/>
    </xf>
    <xf numFmtId="38" fontId="9" fillId="8" borderId="0" xfId="0" applyNumberFormat="1" applyFont="1" applyFill="1"/>
    <xf numFmtId="38" fontId="0" fillId="8" borderId="0" xfId="0" applyNumberFormat="1" applyFill="1"/>
    <xf numFmtId="38" fontId="7" fillId="8" borderId="18" xfId="0" applyNumberFormat="1" applyFont="1" applyFill="1" applyBorder="1"/>
    <xf numFmtId="3" fontId="9" fillId="8" borderId="0" xfId="0" applyNumberFormat="1" applyFont="1" applyFill="1"/>
    <xf numFmtId="0" fontId="16" fillId="8" borderId="18" xfId="0" applyFont="1" applyFill="1" applyBorder="1"/>
    <xf numFmtId="40" fontId="7" fillId="8" borderId="18" xfId="0" applyNumberFormat="1" applyFont="1" applyFill="1" applyBorder="1" applyAlignment="1">
      <alignment horizontal="right"/>
    </xf>
    <xf numFmtId="0" fontId="7" fillId="13" borderId="15" xfId="0" applyFont="1" applyFill="1" applyBorder="1" applyAlignment="1">
      <alignment horizontal="center" wrapText="1"/>
    </xf>
    <xf numFmtId="40" fontId="7" fillId="8" borderId="23" xfId="0" applyNumberFormat="1" applyFont="1" applyFill="1" applyBorder="1" applyAlignment="1">
      <alignment horizontal="right"/>
    </xf>
    <xf numFmtId="0" fontId="40" fillId="8" borderId="0" xfId="305" applyFont="1" applyFill="1" applyAlignment="1">
      <alignment vertical="center"/>
    </xf>
    <xf numFmtId="0" fontId="7" fillId="0" borderId="11" xfId="0" applyFont="1" applyBorder="1" applyAlignment="1">
      <alignment horizontal="right" vertical="center"/>
    </xf>
    <xf numFmtId="10" fontId="7" fillId="0" borderId="11" xfId="0" applyNumberFormat="1" applyFont="1" applyBorder="1" applyAlignment="1">
      <alignment horizontal="right" vertical="center"/>
    </xf>
    <xf numFmtId="14" fontId="7" fillId="0" borderId="11" xfId="0" applyNumberFormat="1" applyFont="1" applyBorder="1" applyAlignment="1">
      <alignment horizontal="center" vertical="center"/>
    </xf>
    <xf numFmtId="172" fontId="7" fillId="0" borderId="11" xfId="0" applyNumberFormat="1" applyFont="1" applyBorder="1" applyAlignment="1">
      <alignment horizontal="right" vertical="center"/>
    </xf>
    <xf numFmtId="0" fontId="7" fillId="0" borderId="15" xfId="0" applyFont="1" applyBorder="1" applyAlignment="1">
      <alignment horizontal="center" vertical="center"/>
    </xf>
    <xf numFmtId="172" fontId="7" fillId="0" borderId="11" xfId="0" applyNumberFormat="1" applyFont="1" applyBorder="1" applyAlignment="1">
      <alignment vertical="center"/>
    </xf>
    <xf numFmtId="0" fontId="7" fillId="12" borderId="11" xfId="0" applyFont="1" applyFill="1" applyBorder="1" applyAlignment="1">
      <alignment horizontal="right" vertical="center"/>
    </xf>
    <xf numFmtId="38" fontId="7" fillId="8" borderId="15" xfId="0" applyNumberFormat="1" applyFont="1" applyFill="1" applyBorder="1" applyAlignment="1">
      <alignment horizontal="right"/>
    </xf>
    <xf numFmtId="38" fontId="7" fillId="0" borderId="35" xfId="0" applyNumberFormat="1" applyFont="1" applyBorder="1" applyAlignment="1">
      <alignment vertical="center"/>
    </xf>
    <xf numFmtId="38" fontId="7" fillId="8" borderId="23" xfId="0" applyNumberFormat="1" applyFont="1" applyFill="1" applyBorder="1" applyAlignment="1">
      <alignment horizontal="right"/>
    </xf>
    <xf numFmtId="169" fontId="7" fillId="8" borderId="13" xfId="0" applyNumberFormat="1" applyFont="1" applyFill="1" applyBorder="1" applyAlignment="1">
      <alignment horizontal="right"/>
    </xf>
    <xf numFmtId="169" fontId="7" fillId="8" borderId="11" xfId="0" applyNumberFormat="1" applyFont="1" applyFill="1" applyBorder="1" applyAlignment="1">
      <alignment horizontal="left"/>
    </xf>
    <xf numFmtId="2" fontId="7" fillId="0" borderId="29" xfId="0" applyNumberFormat="1" applyFont="1" applyBorder="1" applyAlignment="1">
      <alignment horizontal="center" vertical="center"/>
    </xf>
    <xf numFmtId="2" fontId="7" fillId="0" borderId="19" xfId="0" applyNumberFormat="1" applyFont="1" applyBorder="1" applyAlignment="1">
      <alignment horizontal="center" vertical="center"/>
    </xf>
    <xf numFmtId="9" fontId="7" fillId="8" borderId="13" xfId="0" applyNumberFormat="1" applyFont="1" applyFill="1" applyBorder="1" applyAlignment="1">
      <alignment horizontal="right" vertical="center"/>
    </xf>
    <xf numFmtId="0" fontId="7" fillId="13" borderId="11" xfId="0" applyFont="1" applyFill="1" applyBorder="1" applyAlignment="1">
      <alignment vertical="center"/>
    </xf>
    <xf numFmtId="0" fontId="7" fillId="10" borderId="11" xfId="0" applyFont="1" applyFill="1" applyBorder="1" applyAlignment="1">
      <alignment vertical="center"/>
    </xf>
    <xf numFmtId="2" fontId="7" fillId="8" borderId="11" xfId="0" applyNumberFormat="1" applyFont="1" applyFill="1" applyBorder="1" applyAlignment="1">
      <alignment horizontal="center" vertical="center"/>
    </xf>
    <xf numFmtId="3" fontId="7" fillId="0" borderId="23" xfId="0" applyNumberFormat="1" applyFont="1" applyBorder="1" applyAlignment="1">
      <alignment vertical="center"/>
    </xf>
    <xf numFmtId="0" fontId="7" fillId="8" borderId="24" xfId="63" applyFont="1" applyFill="1" applyBorder="1" applyAlignment="1">
      <alignment horizontal="center" vertical="center"/>
    </xf>
    <xf numFmtId="38" fontId="5" fillId="8" borderId="36" xfId="0" applyNumberFormat="1" applyFont="1" applyFill="1" applyBorder="1" applyAlignment="1">
      <alignment vertical="center"/>
    </xf>
    <xf numFmtId="38" fontId="10" fillId="8" borderId="36" xfId="0" applyNumberFormat="1" applyFont="1" applyFill="1" applyBorder="1" applyAlignment="1">
      <alignment vertical="center"/>
    </xf>
    <xf numFmtId="38" fontId="7" fillId="8" borderId="36" xfId="63" applyNumberFormat="1" applyFont="1" applyFill="1" applyBorder="1" applyAlignment="1">
      <alignment vertical="center"/>
    </xf>
    <xf numFmtId="0" fontId="5" fillId="8" borderId="13" xfId="0" applyFont="1" applyFill="1" applyBorder="1" applyAlignment="1">
      <alignment vertical="center"/>
    </xf>
    <xf numFmtId="3" fontId="7" fillId="8" borderId="24" xfId="0" applyNumberFormat="1" applyFont="1" applyFill="1" applyBorder="1" applyAlignment="1">
      <alignment vertical="center"/>
    </xf>
    <xf numFmtId="2" fontId="7" fillId="8" borderId="1" xfId="0" applyNumberFormat="1" applyFont="1" applyFill="1" applyBorder="1" applyAlignment="1">
      <alignment vertical="center"/>
    </xf>
    <xf numFmtId="0" fontId="6" fillId="8" borderId="0" xfId="0" applyFont="1" applyFill="1" applyAlignment="1">
      <alignment vertical="center"/>
    </xf>
    <xf numFmtId="0" fontId="37" fillId="8" borderId="0" xfId="0" applyFont="1" applyFill="1" applyAlignment="1">
      <alignment vertical="center"/>
    </xf>
    <xf numFmtId="0" fontId="16" fillId="8" borderId="0" xfId="0" applyFont="1" applyFill="1" applyAlignment="1">
      <alignment vertical="center"/>
    </xf>
    <xf numFmtId="0" fontId="7" fillId="8" borderId="15" xfId="0" applyFont="1" applyFill="1" applyBorder="1" applyAlignment="1">
      <alignment vertical="center"/>
    </xf>
    <xf numFmtId="3" fontId="7" fillId="0" borderId="11" xfId="0" applyNumberFormat="1" applyFont="1" applyBorder="1"/>
    <xf numFmtId="10" fontId="7" fillId="0" borderId="11" xfId="0" applyNumberFormat="1" applyFont="1" applyBorder="1"/>
    <xf numFmtId="169" fontId="7" fillId="0" borderId="11" xfId="0" applyNumberFormat="1" applyFont="1" applyBorder="1"/>
    <xf numFmtId="10" fontId="7" fillId="0" borderId="15" xfId="0" applyNumberFormat="1" applyFont="1" applyBorder="1"/>
    <xf numFmtId="0" fontId="7" fillId="8" borderId="19" xfId="0" applyFont="1" applyFill="1" applyBorder="1" applyAlignment="1">
      <alignment horizontal="center" vertical="center"/>
    </xf>
    <xf numFmtId="10" fontId="7" fillId="0" borderId="29" xfId="0" applyNumberFormat="1" applyFont="1" applyBorder="1"/>
    <xf numFmtId="10" fontId="7" fillId="0" borderId="19" xfId="0" applyNumberFormat="1" applyFont="1" applyBorder="1"/>
    <xf numFmtId="169" fontId="7" fillId="10" borderId="0" xfId="0" applyNumberFormat="1" applyFont="1" applyFill="1"/>
    <xf numFmtId="0" fontId="16" fillId="10" borderId="0" xfId="0" applyFont="1" applyFill="1"/>
    <xf numFmtId="3" fontId="7" fillId="10" borderId="0" xfId="0" applyNumberFormat="1" applyFont="1" applyFill="1"/>
    <xf numFmtId="3" fontId="7" fillId="0" borderId="11" xfId="0" applyNumberFormat="1" applyFont="1" applyBorder="1" applyAlignment="1">
      <alignment horizontal="right"/>
    </xf>
    <xf numFmtId="3" fontId="7" fillId="0" borderId="19" xfId="0" applyNumberFormat="1" applyFont="1" applyBorder="1" applyAlignment="1">
      <alignment horizontal="right"/>
    </xf>
    <xf numFmtId="3" fontId="7" fillId="8" borderId="29" xfId="0" applyNumberFormat="1" applyFont="1" applyFill="1" applyBorder="1" applyAlignment="1">
      <alignment horizontal="right"/>
    </xf>
    <xf numFmtId="3" fontId="7" fillId="8" borderId="15" xfId="0" applyNumberFormat="1" applyFont="1" applyFill="1" applyBorder="1" applyAlignment="1">
      <alignment horizontal="right"/>
    </xf>
    <xf numFmtId="0" fontId="7" fillId="0" borderId="18" xfId="0" applyFont="1" applyBorder="1"/>
    <xf numFmtId="38" fontId="7" fillId="8" borderId="26" xfId="0" applyNumberFormat="1" applyFont="1" applyFill="1" applyBorder="1" applyAlignment="1">
      <alignment horizontal="right"/>
    </xf>
    <xf numFmtId="38" fontId="7" fillId="8" borderId="13" xfId="0" applyNumberFormat="1" applyFont="1" applyFill="1" applyBorder="1" applyAlignment="1">
      <alignment horizontal="right"/>
    </xf>
    <xf numFmtId="3" fontId="7" fillId="0" borderId="24" xfId="0" applyNumberFormat="1" applyFont="1" applyBorder="1" applyAlignment="1">
      <alignment vertical="center"/>
    </xf>
    <xf numFmtId="0" fontId="7" fillId="0" borderId="19" xfId="0" applyFont="1" applyBorder="1" applyAlignment="1">
      <alignment horizontal="center" vertical="center"/>
    </xf>
    <xf numFmtId="169" fontId="7" fillId="8" borderId="18" xfId="0" applyNumberFormat="1" applyFont="1" applyFill="1" applyBorder="1" applyAlignment="1">
      <alignment horizontal="right"/>
    </xf>
    <xf numFmtId="169" fontId="7" fillId="8" borderId="24" xfId="0" applyNumberFormat="1" applyFont="1" applyFill="1" applyBorder="1" applyAlignment="1">
      <alignment horizontal="right"/>
    </xf>
    <xf numFmtId="0" fontId="7" fillId="0" borderId="18" xfId="0" applyFont="1" applyBorder="1" applyAlignment="1">
      <alignment horizontal="center"/>
    </xf>
    <xf numFmtId="0" fontId="7" fillId="0" borderId="11" xfId="0" applyFont="1" applyBorder="1" applyAlignment="1">
      <alignment horizontal="center"/>
    </xf>
    <xf numFmtId="0" fontId="7" fillId="0" borderId="23" xfId="0" applyFont="1" applyBorder="1"/>
    <xf numFmtId="2" fontId="7" fillId="0" borderId="18" xfId="0" applyNumberFormat="1" applyFont="1" applyBorder="1" applyAlignment="1">
      <alignment vertical="center"/>
    </xf>
    <xf numFmtId="169" fontId="7" fillId="0" borderId="19" xfId="0" applyNumberFormat="1" applyFont="1" applyBorder="1" applyAlignment="1">
      <alignment vertical="center"/>
    </xf>
    <xf numFmtId="2" fontId="7" fillId="7" borderId="15" xfId="0" applyNumberFormat="1" applyFont="1" applyFill="1" applyBorder="1" applyAlignment="1">
      <alignment vertical="center"/>
    </xf>
    <xf numFmtId="2" fontId="7" fillId="7" borderId="13" xfId="0" applyNumberFormat="1" applyFont="1" applyFill="1" applyBorder="1" applyAlignment="1">
      <alignment vertical="center"/>
    </xf>
    <xf numFmtId="3" fontId="7" fillId="8" borderId="11" xfId="0" applyNumberFormat="1" applyFont="1" applyFill="1" applyBorder="1" applyAlignment="1">
      <alignment horizontal="right" wrapText="1"/>
    </xf>
    <xf numFmtId="3" fontId="7" fillId="8" borderId="15" xfId="0" applyNumberFormat="1" applyFont="1" applyFill="1" applyBorder="1" applyAlignment="1">
      <alignment horizontal="right" wrapText="1"/>
    </xf>
    <xf numFmtId="3" fontId="7" fillId="8" borderId="18" xfId="0" applyNumberFormat="1" applyFont="1" applyFill="1" applyBorder="1" applyAlignment="1">
      <alignment horizontal="right" wrapText="1"/>
    </xf>
    <xf numFmtId="3" fontId="7" fillId="8" borderId="23" xfId="0" applyNumberFormat="1" applyFont="1" applyFill="1" applyBorder="1" applyAlignment="1">
      <alignment horizontal="right" wrapText="1"/>
    </xf>
    <xf numFmtId="0" fontId="9" fillId="12" borderId="11" xfId="0" applyFont="1" applyFill="1" applyBorder="1" applyAlignment="1">
      <alignment wrapText="1"/>
    </xf>
    <xf numFmtId="0" fontId="7" fillId="14" borderId="11" xfId="0" applyFont="1" applyFill="1" applyBorder="1" applyAlignment="1">
      <alignment horizontal="center" vertical="center"/>
    </xf>
    <xf numFmtId="0" fontId="7" fillId="8" borderId="0" xfId="0" applyFont="1" applyFill="1" applyAlignment="1">
      <alignment horizontal="center" vertical="center"/>
    </xf>
    <xf numFmtId="3" fontId="9" fillId="0" borderId="0" xfId="0" applyNumberFormat="1" applyFont="1" applyAlignment="1">
      <alignment horizontal="right" vertical="center"/>
    </xf>
    <xf numFmtId="4" fontId="9" fillId="0" borderId="0" xfId="0" applyNumberFormat="1" applyFont="1" applyAlignment="1">
      <alignment horizontal="right" vertical="center"/>
    </xf>
    <xf numFmtId="2" fontId="9" fillId="0" borderId="0" xfId="0" applyNumberFormat="1" applyFont="1" applyAlignment="1">
      <alignment horizontal="right" vertical="center"/>
    </xf>
    <xf numFmtId="6" fontId="7" fillId="0" borderId="11" xfId="0" applyNumberFormat="1" applyFont="1" applyBorder="1" applyAlignment="1">
      <alignment horizontal="right" vertical="center"/>
    </xf>
    <xf numFmtId="8" fontId="7" fillId="0" borderId="11" xfId="0" applyNumberFormat="1" applyFont="1" applyBorder="1" applyAlignment="1">
      <alignment horizontal="right" vertical="center"/>
    </xf>
    <xf numFmtId="6" fontId="7" fillId="0" borderId="15" xfId="0" applyNumberFormat="1" applyFont="1" applyBorder="1" applyAlignment="1">
      <alignment horizontal="right" vertical="center"/>
    </xf>
    <xf numFmtId="9" fontId="7" fillId="0" borderId="18" xfId="0" applyNumberFormat="1" applyFont="1" applyBorder="1" applyAlignment="1">
      <alignment horizontal="right" vertical="center"/>
    </xf>
    <xf numFmtId="6" fontId="7" fillId="0" borderId="26" xfId="0" applyNumberFormat="1" applyFont="1" applyBorder="1" applyAlignment="1">
      <alignment horizontal="right" vertical="center"/>
    </xf>
    <xf numFmtId="9" fontId="7" fillId="0" borderId="19" xfId="0" applyNumberFormat="1" applyFont="1" applyBorder="1" applyAlignment="1">
      <alignment horizontal="right" vertical="center"/>
    </xf>
    <xf numFmtId="38" fontId="7" fillId="0" borderId="13" xfId="0" applyNumberFormat="1" applyFont="1" applyBorder="1" applyAlignment="1">
      <alignment horizontal="right" vertical="center"/>
    </xf>
    <xf numFmtId="38" fontId="7" fillId="0" borderId="15" xfId="0" applyNumberFormat="1" applyFont="1" applyBorder="1" applyAlignment="1">
      <alignment horizontal="right" vertical="center"/>
    </xf>
    <xf numFmtId="41" fontId="7" fillId="0" borderId="15" xfId="0" applyNumberFormat="1" applyFont="1" applyBorder="1" applyAlignment="1">
      <alignment horizontal="center" vertical="center"/>
    </xf>
    <xf numFmtId="41" fontId="7" fillId="12" borderId="12" xfId="0" applyNumberFormat="1" applyFont="1" applyFill="1" applyBorder="1" applyAlignment="1">
      <alignment horizontal="center" vertical="center"/>
    </xf>
    <xf numFmtId="41" fontId="7" fillId="0" borderId="13" xfId="0" applyNumberFormat="1" applyFont="1" applyBorder="1" applyAlignment="1">
      <alignment horizontal="center" vertical="center"/>
    </xf>
    <xf numFmtId="41" fontId="7" fillId="12" borderId="11" xfId="0" applyNumberFormat="1" applyFont="1" applyFill="1" applyBorder="1" applyAlignment="1">
      <alignment horizontal="center" vertical="center"/>
    </xf>
    <xf numFmtId="41" fontId="7" fillId="12" borderId="15" xfId="0" applyNumberFormat="1" applyFont="1" applyFill="1" applyBorder="1" applyAlignment="1">
      <alignment horizontal="center" vertical="center"/>
    </xf>
    <xf numFmtId="41" fontId="7" fillId="0" borderId="11" xfId="0" applyNumberFormat="1" applyFont="1" applyBorder="1" applyAlignment="1">
      <alignment horizontal="right" vertical="center"/>
    </xf>
    <xf numFmtId="49" fontId="7" fillId="0" borderId="11" xfId="0" applyNumberFormat="1" applyFont="1" applyBorder="1" applyAlignment="1">
      <alignment horizontal="center" vertical="center"/>
    </xf>
    <xf numFmtId="0" fontId="7" fillId="0" borderId="11" xfId="0" applyFont="1" applyBorder="1" applyAlignment="1">
      <alignment horizontal="center" vertical="center" wrapText="1"/>
    </xf>
    <xf numFmtId="41" fontId="7" fillId="0" borderId="15" xfId="0" applyNumberFormat="1" applyFont="1" applyBorder="1" applyAlignment="1">
      <alignment vertical="center"/>
    </xf>
    <xf numFmtId="169" fontId="7" fillId="0" borderId="15" xfId="0" applyNumberFormat="1" applyFont="1" applyBorder="1" applyAlignment="1">
      <alignment vertical="center"/>
    </xf>
    <xf numFmtId="0" fontId="16" fillId="0" borderId="15" xfId="0" applyFont="1" applyBorder="1" applyAlignment="1">
      <alignment vertical="center"/>
    </xf>
    <xf numFmtId="0" fontId="16" fillId="0" borderId="11" xfId="0" applyFont="1" applyBorder="1" applyAlignment="1">
      <alignment vertical="center"/>
    </xf>
    <xf numFmtId="41" fontId="7" fillId="0" borderId="15" xfId="0" applyNumberFormat="1" applyFont="1" applyBorder="1" applyAlignment="1">
      <alignment horizontal="right" vertical="center"/>
    </xf>
    <xf numFmtId="0" fontId="7" fillId="12" borderId="11" xfId="0" applyFont="1" applyFill="1" applyBorder="1" applyAlignment="1">
      <alignment horizontal="center" vertical="center"/>
    </xf>
    <xf numFmtId="37" fontId="7" fillId="12" borderId="11" xfId="0" applyNumberFormat="1" applyFont="1" applyFill="1" applyBorder="1" applyAlignment="1">
      <alignment horizontal="center" vertical="center"/>
    </xf>
    <xf numFmtId="3" fontId="7" fillId="0" borderId="22" xfId="0" applyNumberFormat="1" applyFont="1" applyBorder="1" applyAlignment="1">
      <alignment vertical="center"/>
    </xf>
    <xf numFmtId="0" fontId="7" fillId="13" borderId="15" xfId="0" applyFont="1" applyFill="1" applyBorder="1" applyAlignment="1">
      <alignment vertical="center"/>
    </xf>
    <xf numFmtId="0" fontId="7" fillId="0" borderId="15" xfId="0" applyFont="1" applyBorder="1" applyAlignment="1">
      <alignment horizontal="center" vertical="center" wrapText="1"/>
    </xf>
    <xf numFmtId="0" fontId="7" fillId="0" borderId="13" xfId="0" applyFont="1" applyBorder="1" applyAlignment="1">
      <alignment horizontal="center" vertical="center" wrapText="1"/>
    </xf>
    <xf numFmtId="0" fontId="16" fillId="0" borderId="0" xfId="0" applyFont="1"/>
    <xf numFmtId="0" fontId="16" fillId="8" borderId="0" xfId="0" applyFont="1" applyFill="1"/>
    <xf numFmtId="10" fontId="16" fillId="0" borderId="11" xfId="0" applyNumberFormat="1" applyFont="1" applyBorder="1"/>
    <xf numFmtId="169" fontId="16" fillId="10" borderId="0" xfId="0" applyNumberFormat="1" applyFont="1" applyFill="1"/>
    <xf numFmtId="0" fontId="16" fillId="0" borderId="0" xfId="0" applyFont="1" applyAlignment="1">
      <alignment wrapText="1"/>
    </xf>
    <xf numFmtId="38" fontId="16" fillId="8" borderId="0" xfId="0" applyNumberFormat="1" applyFont="1" applyFill="1"/>
    <xf numFmtId="38" fontId="16" fillId="0" borderId="0" xfId="0" applyNumberFormat="1" applyFont="1"/>
    <xf numFmtId="0" fontId="7" fillId="13" borderId="19" xfId="0" applyFont="1" applyFill="1" applyBorder="1" applyAlignment="1">
      <alignment vertical="center"/>
    </xf>
    <xf numFmtId="3" fontId="7" fillId="0" borderId="13" xfId="0" applyNumberFormat="1" applyFont="1" applyBorder="1" applyAlignment="1">
      <alignment horizontal="right" vertical="center"/>
    </xf>
    <xf numFmtId="169" fontId="7" fillId="0" borderId="13" xfId="0" applyNumberFormat="1" applyFont="1" applyBorder="1" applyAlignment="1">
      <alignment horizontal="right" vertical="center"/>
    </xf>
    <xf numFmtId="169" fontId="7" fillId="0" borderId="11" xfId="0" applyNumberFormat="1" applyFont="1" applyBorder="1" applyAlignment="1">
      <alignment horizontal="right" vertical="center"/>
    </xf>
    <xf numFmtId="2" fontId="7" fillId="0" borderId="11" xfId="0" applyNumberFormat="1" applyFont="1" applyBorder="1" applyAlignment="1">
      <alignment horizontal="right" vertical="center"/>
    </xf>
    <xf numFmtId="0" fontId="7" fillId="13" borderId="11" xfId="0" applyFont="1" applyFill="1" applyBorder="1" applyAlignment="1">
      <alignment horizontal="center"/>
    </xf>
    <xf numFmtId="0" fontId="7" fillId="13" borderId="11" xfId="0" applyFont="1" applyFill="1" applyBorder="1"/>
    <xf numFmtId="38" fontId="7" fillId="0" borderId="11" xfId="0" applyNumberFormat="1" applyFont="1" applyBorder="1"/>
    <xf numFmtId="38" fontId="7" fillId="12" borderId="11" xfId="0" applyNumberFormat="1" applyFont="1" applyFill="1" applyBorder="1"/>
    <xf numFmtId="169" fontId="7" fillId="12" borderId="11" xfId="0" applyNumberFormat="1" applyFont="1" applyFill="1" applyBorder="1"/>
    <xf numFmtId="38" fontId="7" fillId="0" borderId="26" xfId="0" applyNumberFormat="1" applyFont="1" applyBorder="1"/>
    <xf numFmtId="2" fontId="16" fillId="13" borderId="11" xfId="0" applyNumberFormat="1" applyFont="1" applyFill="1" applyBorder="1"/>
    <xf numFmtId="2" fontId="7" fillId="13" borderId="11" xfId="0" applyNumberFormat="1" applyFont="1" applyFill="1" applyBorder="1" applyAlignment="1">
      <alignment horizontal="center"/>
    </xf>
    <xf numFmtId="2" fontId="7" fillId="0" borderId="11" xfId="0" applyNumberFormat="1" applyFont="1" applyBorder="1"/>
    <xf numFmtId="2" fontId="16" fillId="0" borderId="11" xfId="0" applyNumberFormat="1" applyFont="1" applyBorder="1"/>
    <xf numFmtId="181" fontId="7" fillId="0" borderId="11" xfId="0" applyNumberFormat="1" applyFont="1" applyBorder="1"/>
    <xf numFmtId="181" fontId="7" fillId="12" borderId="11" xfId="0" applyNumberFormat="1" applyFont="1" applyFill="1" applyBorder="1"/>
    <xf numFmtId="180" fontId="7" fillId="0" borderId="11" xfId="0" applyNumberFormat="1" applyFont="1" applyBorder="1"/>
    <xf numFmtId="181" fontId="7" fillId="8" borderId="11" xfId="0" applyNumberFormat="1" applyFont="1" applyFill="1" applyBorder="1"/>
    <xf numFmtId="181" fontId="16" fillId="0" borderId="0" xfId="0" applyNumberFormat="1" applyFont="1"/>
    <xf numFmtId="3" fontId="7" fillId="12" borderId="11" xfId="0" applyNumberFormat="1" applyFont="1" applyFill="1" applyBorder="1"/>
    <xf numFmtId="3" fontId="7" fillId="12" borderId="15" xfId="0" applyNumberFormat="1" applyFont="1" applyFill="1" applyBorder="1"/>
    <xf numFmtId="3" fontId="7" fillId="12" borderId="19" xfId="0" applyNumberFormat="1" applyFont="1" applyFill="1" applyBorder="1"/>
    <xf numFmtId="3" fontId="7" fillId="12" borderId="18" xfId="0" applyNumberFormat="1" applyFont="1" applyFill="1" applyBorder="1"/>
    <xf numFmtId="3" fontId="7" fillId="12" borderId="20" xfId="0" applyNumberFormat="1" applyFont="1" applyFill="1" applyBorder="1"/>
    <xf numFmtId="0" fontId="7" fillId="0" borderId="20" xfId="0" applyFont="1" applyBorder="1"/>
    <xf numFmtId="3" fontId="16" fillId="0" borderId="0" xfId="0" applyNumberFormat="1" applyFont="1"/>
    <xf numFmtId="3" fontId="7" fillId="8" borderId="11" xfId="0" applyNumberFormat="1" applyFont="1" applyFill="1" applyBorder="1"/>
    <xf numFmtId="3" fontId="7" fillId="8" borderId="18" xfId="0" applyNumberFormat="1" applyFont="1" applyFill="1" applyBorder="1"/>
    <xf numFmtId="3" fontId="7" fillId="0" borderId="20" xfId="0" applyNumberFormat="1" applyFont="1" applyBorder="1"/>
    <xf numFmtId="3" fontId="7" fillId="0" borderId="26" xfId="0" applyNumberFormat="1" applyFont="1" applyBorder="1"/>
    <xf numFmtId="3" fontId="7" fillId="8" borderId="19" xfId="0" applyNumberFormat="1" applyFont="1" applyFill="1" applyBorder="1"/>
    <xf numFmtId="3" fontId="7" fillId="8" borderId="20" xfId="0" applyNumberFormat="1" applyFont="1" applyFill="1" applyBorder="1"/>
    <xf numFmtId="3" fontId="7" fillId="8" borderId="15" xfId="0" applyNumberFormat="1" applyFont="1" applyFill="1" applyBorder="1"/>
    <xf numFmtId="6" fontId="7" fillId="0" borderId="11" xfId="0" applyNumberFormat="1" applyFont="1" applyBorder="1" applyAlignment="1">
      <alignment horizontal="center" vertical="center" wrapText="1"/>
    </xf>
    <xf numFmtId="169" fontId="7" fillId="0" borderId="13" xfId="0" applyNumberFormat="1" applyFont="1" applyBorder="1" applyAlignment="1">
      <alignment horizontal="center" vertical="center" wrapText="1"/>
    </xf>
    <xf numFmtId="169" fontId="7" fillId="0" borderId="11" xfId="0" applyNumberFormat="1" applyFont="1" applyBorder="1" applyAlignment="1">
      <alignment horizontal="center" vertical="center" wrapText="1"/>
    </xf>
    <xf numFmtId="0" fontId="16" fillId="0" borderId="0" xfId="0" applyFont="1" applyAlignment="1">
      <alignment horizontal="center" vertical="center" wrapText="1"/>
    </xf>
    <xf numFmtId="3" fontId="16" fillId="0" borderId="11" xfId="0" applyNumberFormat="1" applyFont="1" applyBorder="1" applyAlignment="1">
      <alignment vertical="center"/>
    </xf>
    <xf numFmtId="0" fontId="7" fillId="8" borderId="13" xfId="0" applyFont="1" applyFill="1" applyBorder="1" applyAlignment="1">
      <alignment horizontal="center" vertical="center"/>
    </xf>
    <xf numFmtId="3" fontId="7" fillId="0" borderId="30" xfId="0" applyNumberFormat="1" applyFont="1" applyBorder="1" applyAlignment="1">
      <alignment horizontal="right" vertical="center"/>
    </xf>
    <xf numFmtId="169" fontId="7" fillId="0" borderId="30" xfId="0" applyNumberFormat="1" applyFont="1" applyBorder="1" applyAlignment="1">
      <alignment vertical="center"/>
    </xf>
    <xf numFmtId="6" fontId="7" fillId="0" borderId="13" xfId="0" applyNumberFormat="1" applyFont="1" applyBorder="1" applyAlignment="1">
      <alignment horizontal="right" vertical="center"/>
    </xf>
    <xf numFmtId="3" fontId="7" fillId="0" borderId="13" xfId="0" applyNumberFormat="1" applyFont="1" applyBorder="1" applyAlignment="1">
      <alignment vertical="center"/>
    </xf>
    <xf numFmtId="169" fontId="7" fillId="0" borderId="13" xfId="0" applyNumberFormat="1" applyFont="1" applyBorder="1" applyAlignment="1">
      <alignment vertical="center"/>
    </xf>
    <xf numFmtId="169" fontId="7" fillId="0" borderId="12" xfId="0" applyNumberFormat="1" applyFont="1" applyBorder="1" applyAlignment="1">
      <alignment vertical="center"/>
    </xf>
    <xf numFmtId="181" fontId="16" fillId="0" borderId="0" xfId="0" applyNumberFormat="1" applyFont="1" applyAlignment="1">
      <alignment vertical="center"/>
    </xf>
    <xf numFmtId="169" fontId="7" fillId="0" borderId="21" xfId="0" applyNumberFormat="1" applyFont="1" applyBorder="1" applyAlignment="1">
      <alignment vertical="center"/>
    </xf>
    <xf numFmtId="0" fontId="16" fillId="0" borderId="21" xfId="0" applyFont="1" applyBorder="1" applyAlignment="1">
      <alignment vertical="center"/>
    </xf>
    <xf numFmtId="169" fontId="7" fillId="0" borderId="18" xfId="0" applyNumberFormat="1" applyFont="1" applyBorder="1" applyAlignment="1">
      <alignment vertical="center"/>
    </xf>
    <xf numFmtId="3" fontId="7" fillId="0" borderId="26" xfId="0" applyNumberFormat="1" applyFont="1" applyBorder="1" applyAlignment="1">
      <alignment horizontal="right" vertical="center"/>
    </xf>
    <xf numFmtId="3" fontId="7" fillId="0" borderId="34" xfId="0" applyNumberFormat="1" applyFont="1" applyBorder="1" applyAlignment="1">
      <alignment horizontal="right" vertical="center"/>
    </xf>
    <xf numFmtId="166" fontId="7" fillId="8" borderId="1" xfId="66" applyNumberFormat="1" applyFont="1" applyFill="1" applyBorder="1" applyAlignment="1">
      <alignment vertical="center"/>
    </xf>
    <xf numFmtId="0" fontId="7" fillId="10" borderId="1" xfId="66" applyFont="1" applyFill="1" applyBorder="1" applyAlignment="1">
      <alignment vertical="center"/>
    </xf>
    <xf numFmtId="0" fontId="16" fillId="0" borderId="0" xfId="306" applyFont="1" applyAlignment="1">
      <alignment vertical="center"/>
    </xf>
    <xf numFmtId="0" fontId="7" fillId="0" borderId="0" xfId="0" applyFont="1" applyAlignment="1">
      <alignment wrapText="1"/>
    </xf>
    <xf numFmtId="0" fontId="7" fillId="12" borderId="15" xfId="0" applyFont="1" applyFill="1" applyBorder="1" applyAlignment="1">
      <alignment horizontal="center" vertical="center"/>
    </xf>
    <xf numFmtId="0" fontId="7" fillId="12" borderId="13" xfId="0" applyFont="1" applyFill="1" applyBorder="1" applyAlignment="1">
      <alignment horizontal="center" vertical="center"/>
    </xf>
    <xf numFmtId="3" fontId="7" fillId="0" borderId="29" xfId="0" applyNumberFormat="1" applyFont="1" applyBorder="1" applyAlignment="1">
      <alignment vertical="center"/>
    </xf>
    <xf numFmtId="3" fontId="7" fillId="8" borderId="28" xfId="0" applyNumberFormat="1" applyFont="1" applyFill="1" applyBorder="1" applyAlignment="1">
      <alignment vertical="center"/>
    </xf>
    <xf numFmtId="0" fontId="0" fillId="0" borderId="19" xfId="0" applyBorder="1" applyAlignment="1">
      <alignment vertical="center"/>
    </xf>
    <xf numFmtId="38" fontId="6" fillId="0" borderId="0" xfId="0" applyNumberFormat="1" applyFont="1" applyAlignment="1">
      <alignment vertical="center"/>
    </xf>
    <xf numFmtId="8" fontId="7" fillId="0" borderId="29" xfId="0" applyNumberFormat="1" applyFont="1" applyBorder="1" applyAlignment="1">
      <alignment vertical="center"/>
    </xf>
    <xf numFmtId="0" fontId="7" fillId="8" borderId="19" xfId="0" applyFont="1" applyFill="1" applyBorder="1" applyAlignment="1">
      <alignment vertical="center"/>
    </xf>
    <xf numFmtId="6" fontId="7" fillId="0" borderId="28" xfId="0" applyNumberFormat="1" applyFont="1" applyBorder="1" applyAlignment="1">
      <alignment vertical="center"/>
    </xf>
    <xf numFmtId="0" fontId="7" fillId="8" borderId="21" xfId="63" applyFont="1" applyFill="1" applyBorder="1" applyAlignment="1">
      <alignment horizontal="center" vertical="center"/>
    </xf>
    <xf numFmtId="3" fontId="7" fillId="12" borderId="11" xfId="0" applyNumberFormat="1" applyFont="1" applyFill="1" applyBorder="1" applyAlignment="1">
      <alignment horizontal="right" vertical="center"/>
    </xf>
    <xf numFmtId="3" fontId="5" fillId="12" borderId="11" xfId="0" applyNumberFormat="1" applyFont="1" applyFill="1" applyBorder="1" applyAlignment="1">
      <alignment horizontal="right" vertical="center"/>
    </xf>
    <xf numFmtId="10" fontId="0" fillId="0" borderId="0" xfId="0" applyNumberFormat="1" applyAlignment="1">
      <alignment vertical="center"/>
    </xf>
    <xf numFmtId="0" fontId="7" fillId="0" borderId="0" xfId="63" applyFont="1" applyAlignment="1">
      <alignment horizontal="left" vertical="center"/>
    </xf>
    <xf numFmtId="10" fontId="7" fillId="8" borderId="11" xfId="0" applyNumberFormat="1" applyFont="1" applyFill="1" applyBorder="1" applyAlignment="1">
      <alignment horizontal="right" vertical="center"/>
    </xf>
    <xf numFmtId="14" fontId="7" fillId="12" borderId="11" xfId="0" applyNumberFormat="1" applyFont="1" applyFill="1" applyBorder="1" applyAlignment="1">
      <alignment horizontal="center" vertical="center"/>
    </xf>
    <xf numFmtId="182" fontId="7" fillId="0" borderId="11" xfId="0" applyNumberFormat="1" applyFont="1" applyBorder="1" applyAlignment="1">
      <alignment horizontal="right" vertical="center"/>
    </xf>
    <xf numFmtId="182" fontId="7" fillId="0" borderId="11" xfId="0" applyNumberFormat="1" applyFont="1" applyBorder="1" applyAlignment="1">
      <alignment vertical="center"/>
    </xf>
    <xf numFmtId="182" fontId="7" fillId="8" borderId="11" xfId="0" applyNumberFormat="1" applyFont="1" applyFill="1" applyBorder="1" applyAlignment="1">
      <alignment horizontal="right" vertical="center"/>
    </xf>
    <xf numFmtId="4" fontId="7" fillId="0" borderId="18" xfId="0" applyNumberFormat="1" applyFont="1" applyBorder="1" applyAlignment="1">
      <alignment horizontal="right" vertical="center"/>
    </xf>
    <xf numFmtId="169" fontId="7" fillId="0" borderId="15" xfId="0" applyNumberFormat="1" applyFont="1" applyBorder="1" applyAlignment="1">
      <alignment horizontal="right" vertical="center"/>
    </xf>
    <xf numFmtId="0" fontId="6" fillId="0" borderId="0" xfId="63" applyFont="1" applyAlignment="1">
      <alignment vertical="center"/>
    </xf>
    <xf numFmtId="0" fontId="10" fillId="0" borderId="11" xfId="0" applyFont="1" applyBorder="1" applyAlignment="1">
      <alignment vertical="center"/>
    </xf>
    <xf numFmtId="38" fontId="10" fillId="0" borderId="11" xfId="0" applyNumberFormat="1" applyFont="1" applyBorder="1" applyAlignment="1">
      <alignment vertical="center"/>
    </xf>
    <xf numFmtId="0" fontId="10" fillId="0" borderId="11" xfId="0" applyFont="1" applyBorder="1" applyAlignment="1">
      <alignment horizontal="left" vertical="center"/>
    </xf>
    <xf numFmtId="38" fontId="10" fillId="8" borderId="15" xfId="0" applyNumberFormat="1" applyFont="1" applyFill="1" applyBorder="1" applyAlignment="1">
      <alignment vertical="center"/>
    </xf>
    <xf numFmtId="0" fontId="7" fillId="8" borderId="0" xfId="63" applyFont="1" applyFill="1" applyAlignment="1">
      <alignment vertical="center"/>
    </xf>
    <xf numFmtId="9" fontId="7" fillId="8" borderId="11" xfId="0" applyNumberFormat="1" applyFont="1" applyFill="1" applyBorder="1" applyAlignment="1">
      <alignment horizontal="right" vertical="center"/>
    </xf>
    <xf numFmtId="0" fontId="7" fillId="0" borderId="0" xfId="0" applyFont="1" applyAlignment="1">
      <alignment horizontal="center" vertical="center" wrapText="1"/>
    </xf>
    <xf numFmtId="38" fontId="7" fillId="8" borderId="0" xfId="0" applyNumberFormat="1" applyFont="1" applyFill="1" applyAlignment="1">
      <alignment horizontal="right" vertical="center" wrapText="1"/>
    </xf>
    <xf numFmtId="3" fontId="7" fillId="8" borderId="0" xfId="0" applyNumberFormat="1" applyFont="1" applyFill="1" applyAlignment="1">
      <alignment horizontal="right" vertical="center" wrapText="1"/>
    </xf>
    <xf numFmtId="38" fontId="7" fillId="8" borderId="0" xfId="0" applyNumberFormat="1" applyFont="1" applyFill="1" applyAlignment="1">
      <alignment vertical="center"/>
    </xf>
    <xf numFmtId="0" fontId="9" fillId="8" borderId="0" xfId="0" applyFont="1" applyFill="1" applyAlignment="1">
      <alignment horizontal="right" vertical="center"/>
    </xf>
    <xf numFmtId="0" fontId="7" fillId="8" borderId="13" xfId="0" applyFont="1" applyFill="1" applyBorder="1" applyAlignment="1">
      <alignment vertical="center"/>
    </xf>
    <xf numFmtId="41" fontId="7" fillId="8" borderId="11" xfId="0" applyNumberFormat="1" applyFont="1" applyFill="1" applyBorder="1" applyAlignment="1">
      <alignment horizontal="right" vertical="center" wrapText="1"/>
    </xf>
    <xf numFmtId="10" fontId="7" fillId="8" borderId="11" xfId="0" applyNumberFormat="1" applyFont="1" applyFill="1" applyBorder="1" applyAlignment="1">
      <alignment horizontal="right" vertical="center" wrapText="1"/>
    </xf>
    <xf numFmtId="0" fontId="7" fillId="8" borderId="23" xfId="0" applyFont="1" applyFill="1" applyBorder="1" applyAlignment="1">
      <alignment vertical="center"/>
    </xf>
    <xf numFmtId="3" fontId="7" fillId="12" borderId="19" xfId="0" applyNumberFormat="1" applyFont="1" applyFill="1" applyBorder="1" applyAlignment="1">
      <alignment horizontal="right" vertical="center" wrapText="1"/>
    </xf>
    <xf numFmtId="38" fontId="7" fillId="0" borderId="22" xfId="0" applyNumberFormat="1" applyFont="1" applyBorder="1" applyAlignment="1">
      <alignment vertical="center"/>
    </xf>
    <xf numFmtId="38" fontId="7" fillId="8" borderId="22" xfId="0" applyNumberFormat="1" applyFont="1" applyFill="1" applyBorder="1" applyAlignment="1">
      <alignment vertical="center"/>
    </xf>
    <xf numFmtId="0" fontId="7" fillId="0" borderId="18" xfId="0" applyFont="1" applyBorder="1" applyAlignment="1">
      <alignment horizontal="center" vertical="center"/>
    </xf>
    <xf numFmtId="38" fontId="7" fillId="10" borderId="11" xfId="0" applyNumberFormat="1" applyFont="1" applyFill="1" applyBorder="1" applyAlignment="1">
      <alignment vertical="center"/>
    </xf>
    <xf numFmtId="38" fontId="7" fillId="0" borderId="37" xfId="0" applyNumberFormat="1" applyFont="1" applyBorder="1" applyAlignment="1">
      <alignment vertical="center"/>
    </xf>
    <xf numFmtId="38" fontId="7" fillId="0" borderId="21" xfId="0" applyNumberFormat="1" applyFont="1" applyBorder="1" applyAlignment="1">
      <alignment vertical="center"/>
    </xf>
    <xf numFmtId="38" fontId="7" fillId="10" borderId="15" xfId="0" applyNumberFormat="1" applyFont="1" applyFill="1" applyBorder="1" applyAlignment="1">
      <alignment vertical="center"/>
    </xf>
    <xf numFmtId="38" fontId="7" fillId="10" borderId="9" xfId="0" applyNumberFormat="1" applyFont="1" applyFill="1" applyBorder="1" applyAlignment="1">
      <alignment vertical="center"/>
    </xf>
    <xf numFmtId="0" fontId="7" fillId="8" borderId="0" xfId="0" applyFont="1" applyFill="1"/>
    <xf numFmtId="172" fontId="7" fillId="8" borderId="19" xfId="0" applyNumberFormat="1" applyFont="1" applyFill="1" applyBorder="1" applyAlignment="1">
      <alignment vertical="center"/>
    </xf>
    <xf numFmtId="169" fontId="7" fillId="8" borderId="15" xfId="0" applyNumberFormat="1" applyFont="1" applyFill="1" applyBorder="1" applyAlignment="1">
      <alignment vertical="center"/>
    </xf>
    <xf numFmtId="1" fontId="7" fillId="0" borderId="23" xfId="0" applyNumberFormat="1" applyFont="1" applyBorder="1" applyAlignment="1">
      <alignment horizontal="center" vertical="center"/>
    </xf>
    <xf numFmtId="168" fontId="7" fillId="8" borderId="11" xfId="0" applyNumberFormat="1" applyFont="1" applyFill="1" applyBorder="1" applyAlignment="1">
      <alignment horizontal="right" vertical="center"/>
    </xf>
    <xf numFmtId="37" fontId="7" fillId="8" borderId="11" xfId="0" applyNumberFormat="1" applyFont="1" applyFill="1" applyBorder="1" applyAlignment="1">
      <alignment vertical="center"/>
    </xf>
    <xf numFmtId="37" fontId="5" fillId="8" borderId="11" xfId="0" applyNumberFormat="1" applyFont="1" applyFill="1" applyBorder="1" applyAlignment="1">
      <alignment vertical="center"/>
    </xf>
    <xf numFmtId="37" fontId="7" fillId="8" borderId="11" xfId="0" applyNumberFormat="1" applyFont="1" applyFill="1" applyBorder="1" applyAlignment="1">
      <alignment horizontal="right" vertical="center"/>
    </xf>
    <xf numFmtId="10" fontId="5" fillId="0" borderId="26" xfId="0" applyNumberFormat="1" applyFont="1" applyBorder="1" applyAlignment="1">
      <alignment vertical="center"/>
    </xf>
    <xf numFmtId="0" fontId="5" fillId="8" borderId="18" xfId="0" applyFont="1" applyFill="1" applyBorder="1" applyAlignment="1">
      <alignment vertical="center"/>
    </xf>
    <xf numFmtId="3" fontId="5" fillId="0" borderId="15" xfId="0" applyNumberFormat="1" applyFont="1" applyBorder="1" applyAlignment="1">
      <alignment vertical="center"/>
    </xf>
    <xf numFmtId="10" fontId="5" fillId="0" borderId="13" xfId="0" applyNumberFormat="1" applyFont="1" applyBorder="1" applyAlignment="1">
      <alignment vertical="center"/>
    </xf>
    <xf numFmtId="10" fontId="5" fillId="8" borderId="26" xfId="0" applyNumberFormat="1" applyFont="1" applyFill="1" applyBorder="1" applyAlignment="1">
      <alignment vertical="center"/>
    </xf>
    <xf numFmtId="10" fontId="5" fillId="0" borderId="20" xfId="0" applyNumberFormat="1" applyFont="1" applyBorder="1" applyAlignment="1">
      <alignment vertical="center"/>
    </xf>
    <xf numFmtId="10" fontId="5" fillId="8" borderId="19" xfId="0" applyNumberFormat="1" applyFont="1" applyFill="1" applyBorder="1" applyAlignment="1">
      <alignment vertical="center"/>
    </xf>
    <xf numFmtId="3" fontId="5" fillId="8" borderId="15" xfId="0" applyNumberFormat="1" applyFont="1" applyFill="1" applyBorder="1" applyAlignment="1">
      <alignment vertical="center"/>
    </xf>
    <xf numFmtId="10" fontId="5" fillId="8" borderId="20" xfId="0" applyNumberFormat="1" applyFont="1" applyFill="1" applyBorder="1" applyAlignment="1">
      <alignment vertical="center"/>
    </xf>
    <xf numFmtId="0" fontId="7" fillId="8" borderId="20" xfId="0" applyFont="1" applyFill="1" applyBorder="1" applyAlignment="1">
      <alignment vertical="center"/>
    </xf>
    <xf numFmtId="10" fontId="7" fillId="8" borderId="18" xfId="0" applyNumberFormat="1" applyFont="1" applyFill="1" applyBorder="1" applyAlignment="1">
      <alignment vertical="center"/>
    </xf>
    <xf numFmtId="10" fontId="7" fillId="8" borderId="11" xfId="0" applyNumberFormat="1" applyFont="1" applyFill="1" applyBorder="1" applyAlignment="1">
      <alignment vertical="center"/>
    </xf>
    <xf numFmtId="2" fontId="7" fillId="8" borderId="15" xfId="0" applyNumberFormat="1" applyFont="1" applyFill="1" applyBorder="1" applyAlignment="1">
      <alignment horizontal="center" vertical="center"/>
    </xf>
    <xf numFmtId="175" fontId="7" fillId="0" borderId="11" xfId="0" applyNumberFormat="1" applyFont="1" applyBorder="1"/>
    <xf numFmtId="175" fontId="7" fillId="12" borderId="11" xfId="0" applyNumberFormat="1" applyFont="1" applyFill="1" applyBorder="1"/>
    <xf numFmtId="175" fontId="7" fillId="8" borderId="11" xfId="0" applyNumberFormat="1" applyFont="1" applyFill="1" applyBorder="1"/>
    <xf numFmtId="175" fontId="7" fillId="0" borderId="26" xfId="0" applyNumberFormat="1" applyFont="1" applyBorder="1"/>
    <xf numFmtId="175" fontId="7" fillId="0" borderId="18" xfId="0" applyNumberFormat="1" applyFont="1" applyBorder="1"/>
    <xf numFmtId="175" fontId="7" fillId="0" borderId="15" xfId="0" applyNumberFormat="1" applyFont="1" applyBorder="1"/>
    <xf numFmtId="0" fontId="7" fillId="0" borderId="13" xfId="0" applyFont="1" applyBorder="1"/>
    <xf numFmtId="38" fontId="5" fillId="8" borderId="26" xfId="0" applyNumberFormat="1" applyFont="1" applyFill="1" applyBorder="1" applyAlignment="1">
      <alignment vertical="center"/>
    </xf>
    <xf numFmtId="38" fontId="5" fillId="8" borderId="11" xfId="0" applyNumberFormat="1" applyFont="1" applyFill="1" applyBorder="1" applyAlignment="1">
      <alignment horizontal="right" vertical="center" wrapText="1"/>
    </xf>
    <xf numFmtId="38" fontId="7" fillId="8" borderId="13" xfId="0" applyNumberFormat="1" applyFont="1" applyFill="1" applyBorder="1" applyAlignment="1">
      <alignment horizontal="right" vertical="center" wrapText="1"/>
    </xf>
    <xf numFmtId="10" fontId="7" fillId="8" borderId="1" xfId="66" applyNumberFormat="1" applyFont="1" applyFill="1" applyBorder="1" applyAlignment="1">
      <alignment vertical="center"/>
    </xf>
    <xf numFmtId="38" fontId="7" fillId="8" borderId="31" xfId="0" applyNumberFormat="1" applyFont="1" applyFill="1" applyBorder="1" applyAlignment="1">
      <alignment vertical="center"/>
    </xf>
    <xf numFmtId="172" fontId="36" fillId="8" borderId="0" xfId="0" applyNumberFormat="1" applyFont="1" applyFill="1" applyAlignment="1">
      <alignment horizontal="center" vertical="center"/>
    </xf>
    <xf numFmtId="167" fontId="7" fillId="8" borderId="0" xfId="0" applyNumberFormat="1" applyFont="1" applyFill="1" applyAlignment="1">
      <alignment vertical="center"/>
    </xf>
    <xf numFmtId="0" fontId="41" fillId="8" borderId="0" xfId="0" applyFont="1" applyFill="1" applyAlignment="1">
      <alignment vertical="center"/>
    </xf>
    <xf numFmtId="0" fontId="31" fillId="8" borderId="0" xfId="0" applyFont="1" applyFill="1" applyAlignment="1">
      <alignment vertical="center"/>
    </xf>
    <xf numFmtId="0" fontId="29" fillId="8" borderId="0" xfId="0" applyFont="1" applyFill="1" applyAlignment="1">
      <alignment horizontal="center" vertical="center"/>
    </xf>
    <xf numFmtId="0" fontId="29" fillId="8" borderId="0" xfId="0" applyFont="1" applyFill="1" applyAlignment="1">
      <alignment vertical="center" wrapText="1"/>
    </xf>
    <xf numFmtId="0" fontId="29" fillId="8" borderId="0" xfId="0" applyFont="1" applyFill="1" applyAlignment="1">
      <alignment horizontal="right" vertical="center" wrapText="1"/>
    </xf>
    <xf numFmtId="0" fontId="29" fillId="8" borderId="0" xfId="0" applyFont="1" applyFill="1" applyAlignment="1">
      <alignment vertical="center"/>
    </xf>
    <xf numFmtId="0" fontId="5" fillId="13" borderId="11" xfId="0" applyFont="1" applyFill="1" applyBorder="1" applyAlignment="1">
      <alignment horizontal="center" vertical="center" wrapText="1"/>
    </xf>
    <xf numFmtId="0" fontId="7" fillId="0" borderId="15" xfId="0" applyFont="1" applyBorder="1" applyAlignment="1">
      <alignment vertical="center" wrapText="1"/>
    </xf>
    <xf numFmtId="38" fontId="7" fillId="12" borderId="15" xfId="0" applyNumberFormat="1" applyFont="1" applyFill="1" applyBorder="1" applyAlignment="1">
      <alignment horizontal="right" vertical="center" wrapText="1"/>
    </xf>
    <xf numFmtId="3" fontId="7" fillId="12" borderId="15" xfId="0" applyNumberFormat="1" applyFont="1" applyFill="1" applyBorder="1" applyAlignment="1">
      <alignment horizontal="right" vertical="center" wrapText="1"/>
    </xf>
    <xf numFmtId="0" fontId="7" fillId="10" borderId="18" xfId="0" applyFont="1" applyFill="1" applyBorder="1"/>
    <xf numFmtId="0" fontId="7" fillId="10" borderId="11" xfId="0" applyFont="1" applyFill="1" applyBorder="1"/>
    <xf numFmtId="1" fontId="7" fillId="0" borderId="29" xfId="0" applyNumberFormat="1" applyFont="1" applyBorder="1"/>
    <xf numFmtId="1" fontId="7" fillId="0" borderId="15" xfId="0" applyNumberFormat="1" applyFont="1" applyBorder="1"/>
    <xf numFmtId="0" fontId="5" fillId="0" borderId="13" xfId="0" applyFont="1" applyBorder="1"/>
    <xf numFmtId="0" fontId="5" fillId="8" borderId="13" xfId="0" applyFont="1" applyFill="1" applyBorder="1"/>
    <xf numFmtId="183" fontId="7" fillId="8" borderId="11" xfId="0" applyNumberFormat="1" applyFont="1" applyFill="1" applyBorder="1" applyAlignment="1">
      <alignment horizontal="right" vertical="center" wrapText="1"/>
    </xf>
    <xf numFmtId="0" fontId="3" fillId="0" borderId="0" xfId="305"/>
    <xf numFmtId="0" fontId="3" fillId="0" borderId="0" xfId="305" applyAlignment="1"/>
    <xf numFmtId="0" fontId="7" fillId="0" borderId="0" xfId="63" applyFont="1" applyAlignment="1">
      <alignment horizontal="right" vertical="center"/>
    </xf>
    <xf numFmtId="0" fontId="0" fillId="0" borderId="0" xfId="0" applyAlignment="1">
      <alignment horizontal="right" vertical="center"/>
    </xf>
    <xf numFmtId="14" fontId="7" fillId="0" borderId="11" xfId="0" applyNumberFormat="1" applyFont="1" applyBorder="1" applyAlignment="1">
      <alignment horizontal="right" vertical="center"/>
    </xf>
    <xf numFmtId="0" fontId="7" fillId="8" borderId="29" xfId="0" applyFont="1" applyFill="1" applyBorder="1" applyAlignment="1">
      <alignment vertical="center"/>
    </xf>
    <xf numFmtId="0" fontId="7" fillId="8" borderId="28" xfId="0" applyFont="1" applyFill="1" applyBorder="1" applyAlignment="1">
      <alignment vertical="center"/>
    </xf>
    <xf numFmtId="37" fontId="7" fillId="0" borderId="15" xfId="0" applyNumberFormat="1" applyFont="1" applyBorder="1" applyAlignment="1">
      <alignment vertical="center"/>
    </xf>
    <xf numFmtId="37" fontId="5" fillId="8" borderId="13" xfId="0" applyNumberFormat="1" applyFont="1" applyFill="1" applyBorder="1" applyAlignment="1">
      <alignment vertical="center"/>
    </xf>
    <xf numFmtId="37" fontId="7" fillId="8" borderId="15" xfId="0" applyNumberFormat="1" applyFont="1" applyFill="1" applyBorder="1" applyAlignment="1">
      <alignment vertical="center"/>
    </xf>
    <xf numFmtId="37" fontId="7" fillId="0" borderId="13" xfId="0" applyNumberFormat="1" applyFont="1" applyBorder="1" applyAlignment="1">
      <alignment vertical="center"/>
    </xf>
    <xf numFmtId="9" fontId="7" fillId="8" borderId="11" xfId="0" applyNumberFormat="1" applyFont="1" applyFill="1" applyBorder="1" applyAlignment="1">
      <alignment vertical="center"/>
    </xf>
    <xf numFmtId="9" fontId="7" fillId="8" borderId="15" xfId="0" applyNumberFormat="1" applyFont="1" applyFill="1" applyBorder="1" applyAlignment="1">
      <alignment vertical="center"/>
    </xf>
    <xf numFmtId="3" fontId="7" fillId="0" borderId="0" xfId="0" applyNumberFormat="1" applyFont="1" applyAlignment="1">
      <alignment horizontal="right" vertical="center"/>
    </xf>
    <xf numFmtId="0" fontId="7" fillId="0" borderId="18" xfId="0" applyFont="1" applyBorder="1" applyAlignment="1">
      <alignment horizontal="left" vertical="center"/>
    </xf>
    <xf numFmtId="3" fontId="7" fillId="0" borderId="15" xfId="0" applyNumberFormat="1" applyFont="1" applyBorder="1" applyAlignment="1">
      <alignment horizontal="right" vertical="center"/>
    </xf>
    <xf numFmtId="0" fontId="7" fillId="13" borderId="18" xfId="0" applyFont="1" applyFill="1" applyBorder="1" applyAlignment="1">
      <alignment horizontal="center" vertical="center"/>
    </xf>
    <xf numFmtId="0" fontId="7" fillId="13" borderId="19" xfId="0" applyFont="1" applyFill="1" applyBorder="1" applyAlignment="1">
      <alignment horizontal="center" vertical="center"/>
    </xf>
    <xf numFmtId="0" fontId="7" fillId="9" borderId="18" xfId="0" applyFont="1" applyFill="1" applyBorder="1" applyAlignment="1">
      <alignment horizontal="center" vertical="center"/>
    </xf>
    <xf numFmtId="0" fontId="7" fillId="0" borderId="22" xfId="0" applyFont="1" applyBorder="1" applyAlignment="1">
      <alignment horizontal="center" vertical="center" wrapText="1"/>
    </xf>
    <xf numFmtId="0" fontId="7" fillId="13" borderId="11" xfId="0" applyFont="1" applyFill="1" applyBorder="1" applyAlignment="1">
      <alignment horizontal="center" vertical="center"/>
    </xf>
    <xf numFmtId="168" fontId="20" fillId="0" borderId="0" xfId="64" applyNumberFormat="1" applyFont="1" applyAlignment="1">
      <alignment horizontal="center" vertical="center" wrapText="1"/>
    </xf>
    <xf numFmtId="43" fontId="20" fillId="0" borderId="0" xfId="64" applyFont="1" applyAlignment="1">
      <alignment horizontal="center" vertical="center" wrapText="1"/>
    </xf>
    <xf numFmtId="0" fontId="7" fillId="8" borderId="18" xfId="0" applyFont="1" applyFill="1" applyBorder="1" applyAlignment="1">
      <alignment horizontal="center"/>
    </xf>
    <xf numFmtId="0" fontId="7" fillId="8" borderId="11" xfId="0" applyFont="1" applyFill="1" applyBorder="1" applyAlignment="1">
      <alignment horizontal="center"/>
    </xf>
    <xf numFmtId="0" fontId="7" fillId="8" borderId="11" xfId="0" applyFont="1" applyFill="1" applyBorder="1"/>
    <xf numFmtId="0" fontId="7" fillId="8" borderId="23" xfId="0" applyFont="1" applyFill="1" applyBorder="1"/>
    <xf numFmtId="43" fontId="15" fillId="8" borderId="26" xfId="0" applyNumberFormat="1" applyFont="1" applyFill="1" applyBorder="1" applyAlignment="1">
      <alignment horizontal="right" vertical="center"/>
    </xf>
    <xf numFmtId="37" fontId="7" fillId="0" borderId="15" xfId="0" applyNumberFormat="1" applyFont="1" applyBorder="1" applyAlignment="1">
      <alignment horizontal="right" vertical="center"/>
    </xf>
    <xf numFmtId="39" fontId="15" fillId="0" borderId="26" xfId="0" applyNumberFormat="1" applyFont="1" applyBorder="1" applyAlignment="1">
      <alignment horizontal="right" vertical="center"/>
    </xf>
    <xf numFmtId="0" fontId="7" fillId="12" borderId="29" xfId="0" applyFont="1" applyFill="1" applyBorder="1" applyAlignment="1">
      <alignment horizontal="right" vertical="center"/>
    </xf>
    <xf numFmtId="39" fontId="7" fillId="12" borderId="24" xfId="0" applyNumberFormat="1" applyFont="1" applyFill="1" applyBorder="1" applyAlignment="1">
      <alignment horizontal="right" vertical="center"/>
    </xf>
    <xf numFmtId="2" fontId="15" fillId="0" borderId="26" xfId="0" applyNumberFormat="1" applyFont="1" applyBorder="1" applyAlignment="1">
      <alignment horizontal="right" vertical="center"/>
    </xf>
    <xf numFmtId="39" fontId="7" fillId="0" borderId="15" xfId="0" applyNumberFormat="1" applyFont="1" applyBorder="1" applyAlignment="1">
      <alignment horizontal="right" vertical="center"/>
    </xf>
    <xf numFmtId="0" fontId="7" fillId="0" borderId="22" xfId="0" applyFont="1" applyBorder="1" applyAlignment="1">
      <alignment horizontal="right" vertical="center"/>
    </xf>
    <xf numFmtId="37" fontId="7" fillId="0" borderId="11" xfId="0" applyNumberFormat="1" applyFont="1" applyBorder="1" applyAlignment="1">
      <alignment horizontal="right" vertical="center"/>
    </xf>
    <xf numFmtId="175" fontId="7" fillId="0" borderId="11" xfId="0" applyNumberFormat="1" applyFont="1" applyBorder="1" applyAlignment="1">
      <alignment horizontal="right" vertical="center"/>
    </xf>
    <xf numFmtId="39" fontId="15" fillId="0" borderId="11" xfId="0" applyNumberFormat="1" applyFont="1" applyBorder="1" applyAlignment="1">
      <alignment horizontal="right" vertical="center"/>
    </xf>
    <xf numFmtId="39" fontId="7" fillId="12" borderId="11" xfId="0" applyNumberFormat="1" applyFont="1" applyFill="1" applyBorder="1" applyAlignment="1">
      <alignment horizontal="right" vertical="center"/>
    </xf>
    <xf numFmtId="0" fontId="5" fillId="15" borderId="13" xfId="0" applyFont="1" applyFill="1" applyBorder="1" applyAlignment="1">
      <alignment horizontal="right" vertical="center"/>
    </xf>
    <xf numFmtId="0" fontId="5" fillId="0" borderId="13" xfId="0" applyFont="1" applyBorder="1" applyAlignment="1">
      <alignment horizontal="right" vertical="center"/>
    </xf>
    <xf numFmtId="3" fontId="5" fillId="0" borderId="22" xfId="0" applyNumberFormat="1" applyFont="1" applyBorder="1" applyAlignment="1">
      <alignment horizontal="right" vertical="center"/>
    </xf>
    <xf numFmtId="2" fontId="42" fillId="0" borderId="26" xfId="0" applyNumberFormat="1" applyFont="1" applyBorder="1" applyAlignment="1">
      <alignment horizontal="right" vertical="center"/>
    </xf>
    <xf numFmtId="3" fontId="5" fillId="0" borderId="13" xfId="0" applyNumberFormat="1" applyFont="1" applyBorder="1" applyAlignment="1">
      <alignment horizontal="right" vertical="center"/>
    </xf>
    <xf numFmtId="37" fontId="5" fillId="0" borderId="11" xfId="0" applyNumberFormat="1" applyFont="1" applyBorder="1" applyAlignment="1">
      <alignment horizontal="right" vertical="center"/>
    </xf>
    <xf numFmtId="0" fontId="5" fillId="0" borderId="11" xfId="0" applyFont="1" applyBorder="1" applyAlignment="1">
      <alignment horizontal="right" vertical="center"/>
    </xf>
    <xf numFmtId="3" fontId="5" fillId="0" borderId="11" xfId="0" applyNumberFormat="1" applyFont="1" applyBorder="1" applyAlignment="1">
      <alignment horizontal="right" vertical="center"/>
    </xf>
    <xf numFmtId="2" fontId="42" fillId="0" borderId="11" xfId="0" applyNumberFormat="1" applyFont="1" applyBorder="1" applyAlignment="1">
      <alignment horizontal="right" vertical="center"/>
    </xf>
    <xf numFmtId="0" fontId="43" fillId="0" borderId="0" xfId="0" applyFont="1" applyAlignment="1">
      <alignment readingOrder="1"/>
    </xf>
    <xf numFmtId="0" fontId="44" fillId="0" borderId="0" xfId="0" applyFont="1" applyAlignment="1">
      <alignment readingOrder="1"/>
    </xf>
    <xf numFmtId="184" fontId="7" fillId="0" borderId="13" xfId="0" applyNumberFormat="1" applyFont="1" applyBorder="1" applyAlignment="1">
      <alignment vertical="center"/>
    </xf>
    <xf numFmtId="184" fontId="7" fillId="0" borderId="11" xfId="0" applyNumberFormat="1" applyFont="1" applyBorder="1" applyAlignment="1">
      <alignment vertical="center"/>
    </xf>
    <xf numFmtId="3" fontId="0" fillId="0" borderId="0" xfId="0" applyNumberFormat="1" applyAlignment="1">
      <alignment horizontal="right" vertical="center"/>
    </xf>
    <xf numFmtId="0" fontId="16" fillId="8" borderId="0" xfId="306" applyFont="1" applyFill="1" applyAlignment="1">
      <alignment vertical="center"/>
    </xf>
    <xf numFmtId="0" fontId="45" fillId="8" borderId="0" xfId="305" applyFont="1" applyFill="1" applyAlignment="1">
      <alignment vertical="center"/>
    </xf>
    <xf numFmtId="0" fontId="47" fillId="0" borderId="0" xfId="0" applyFont="1" applyAlignment="1">
      <alignment vertical="center"/>
    </xf>
    <xf numFmtId="0" fontId="3" fillId="8" borderId="0" xfId="305" applyFill="1" applyAlignment="1">
      <alignment vertical="center"/>
    </xf>
    <xf numFmtId="0" fontId="46" fillId="8" borderId="0" xfId="306" applyFont="1" applyFill="1" applyAlignment="1">
      <alignment vertical="center"/>
    </xf>
    <xf numFmtId="0" fontId="46" fillId="8" borderId="0" xfId="0" applyFont="1" applyFill="1" applyAlignment="1">
      <alignment vertical="center"/>
    </xf>
    <xf numFmtId="169" fontId="16" fillId="0" borderId="11" xfId="0" applyNumberFormat="1" applyFont="1" applyBorder="1" applyAlignment="1">
      <alignment horizontal="right" vertical="center"/>
    </xf>
    <xf numFmtId="3" fontId="7" fillId="0" borderId="18" xfId="0" applyNumberFormat="1" applyFont="1" applyBorder="1" applyAlignment="1">
      <alignment horizontal="right" vertical="center"/>
    </xf>
    <xf numFmtId="3" fontId="48" fillId="0" borderId="11" xfId="0" applyNumberFormat="1" applyFont="1" applyBorder="1"/>
    <xf numFmtId="3" fontId="7" fillId="0" borderId="19" xfId="0" applyNumberFormat="1" applyFont="1" applyBorder="1" applyAlignment="1">
      <alignment horizontal="right" vertical="center"/>
    </xf>
    <xf numFmtId="3" fontId="7" fillId="0" borderId="19" xfId="0" applyNumberFormat="1" applyFont="1" applyBorder="1"/>
    <xf numFmtId="0" fontId="7" fillId="8" borderId="15" xfId="0" applyFont="1" applyFill="1" applyBorder="1" applyAlignment="1">
      <alignment horizontal="center" vertical="center"/>
    </xf>
    <xf numFmtId="0" fontId="7" fillId="0" borderId="15" xfId="0" applyFont="1" applyBorder="1" applyAlignment="1">
      <alignment horizontal="center"/>
    </xf>
    <xf numFmtId="1" fontId="7" fillId="0" borderId="15" xfId="0" applyNumberFormat="1" applyFont="1" applyBorder="1" applyAlignment="1">
      <alignment horizontal="center"/>
    </xf>
    <xf numFmtId="0" fontId="16" fillId="0" borderId="13" xfId="0" applyFont="1" applyBorder="1"/>
    <xf numFmtId="10" fontId="16" fillId="0" borderId="13" xfId="0" applyNumberFormat="1" applyFont="1" applyBorder="1"/>
    <xf numFmtId="0" fontId="7" fillId="13" borderId="18" xfId="0" applyFont="1" applyFill="1" applyBorder="1" applyAlignment="1">
      <alignment horizontal="center" vertical="center"/>
    </xf>
    <xf numFmtId="0" fontId="7" fillId="13" borderId="20" xfId="0" applyFont="1" applyFill="1" applyBorder="1" applyAlignment="1">
      <alignment horizontal="center" vertical="center"/>
    </xf>
    <xf numFmtId="0" fontId="7" fillId="13" borderId="19" xfId="0" applyFont="1" applyFill="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9" fillId="0" borderId="0" xfId="0" applyFont="1" applyAlignment="1">
      <alignment horizontal="left" vertical="center" wrapText="1"/>
    </xf>
    <xf numFmtId="0" fontId="7" fillId="13" borderId="23" xfId="0" applyFont="1" applyFill="1" applyBorder="1" applyAlignment="1">
      <alignment horizontal="center" vertical="center" wrapText="1"/>
    </xf>
    <xf numFmtId="0" fontId="7" fillId="13" borderId="29"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3" xfId="0" applyFont="1" applyBorder="1" applyAlignment="1">
      <alignment horizontal="center" vertical="center" wrapText="1"/>
    </xf>
    <xf numFmtId="0" fontId="7" fillId="13" borderId="11" xfId="0" applyFont="1" applyFill="1" applyBorder="1" applyAlignment="1">
      <alignment horizontal="center" vertical="center"/>
    </xf>
    <xf numFmtId="168" fontId="20" fillId="0" borderId="0" xfId="64" applyNumberFormat="1" applyFont="1" applyAlignment="1">
      <alignment horizontal="center" vertical="center" wrapText="1"/>
    </xf>
    <xf numFmtId="0" fontId="19" fillId="0" borderId="11" xfId="66" applyFont="1" applyBorder="1" applyAlignment="1">
      <alignment horizontal="center" vertical="center"/>
    </xf>
    <xf numFmtId="43" fontId="20" fillId="0" borderId="0" xfId="64" applyFont="1" applyAlignment="1">
      <alignment horizontal="center" vertical="center" wrapText="1"/>
    </xf>
    <xf numFmtId="0" fontId="19" fillId="0" borderId="11" xfId="66" applyFont="1" applyBorder="1" applyAlignment="1">
      <alignment horizontal="center" vertical="center" wrapText="1"/>
    </xf>
    <xf numFmtId="0" fontId="20" fillId="0" borderId="0" xfId="66" applyFont="1" applyAlignment="1">
      <alignment horizontal="center" vertical="center" wrapText="1"/>
    </xf>
    <xf numFmtId="0" fontId="9" fillId="0" borderId="11" xfId="66" applyFont="1" applyBorder="1" applyAlignment="1">
      <alignment horizontal="left" vertical="center" wrapText="1"/>
    </xf>
    <xf numFmtId="0" fontId="21" fillId="0" borderId="11" xfId="66" applyFont="1" applyBorder="1" applyAlignment="1">
      <alignment horizontal="center" vertical="center" wrapText="1"/>
    </xf>
    <xf numFmtId="0" fontId="22" fillId="13" borderId="11" xfId="66" applyFont="1" applyFill="1" applyBorder="1" applyAlignment="1">
      <alignment horizontal="center" vertical="center"/>
    </xf>
    <xf numFmtId="3" fontId="22" fillId="13" borderId="11" xfId="66" applyNumberFormat="1" applyFont="1" applyFill="1" applyBorder="1" applyAlignment="1">
      <alignment horizontal="center" vertical="center"/>
    </xf>
    <xf numFmtId="0" fontId="9" fillId="0" borderId="11" xfId="66" applyFont="1" applyBorder="1" applyAlignment="1">
      <alignment horizontal="left" vertical="center"/>
    </xf>
  </cellXfs>
  <cellStyles count="456">
    <cellStyle name="Comma" xfId="7" builtinId="3"/>
    <cellStyle name="Comma 2" xfId="64" xr:uid="{00000000-0005-0000-0000-000001000000}"/>
    <cellStyle name="Comma 3" xfId="326" xr:uid="{00000000-0005-0000-0000-000002000000}"/>
    <cellStyle name="Currency 2" xfId="65" xr:uid="{00000000-0005-0000-0000-000003000000}"/>
    <cellStyle name="Currency 3" xfId="307" xr:uid="{00000000-0005-0000-0000-000004000000}"/>
    <cellStyle name="Date" xfId="14" xr:uid="{00000000-0005-0000-0000-000005000000}"/>
    <cellStyle name="Followed Hyperlink" xfId="52" builtinId="9" hidden="1"/>
    <cellStyle name="Followed Hyperlink" xfId="96" builtinId="9" hidden="1"/>
    <cellStyle name="Followed Hyperlink" xfId="420" builtinId="9" hidden="1"/>
    <cellStyle name="Followed Hyperlink" xfId="92" builtinId="9" hidden="1"/>
    <cellStyle name="Followed Hyperlink" xfId="26" builtinId="9" hidden="1"/>
    <cellStyle name="Followed Hyperlink" xfId="371" builtinId="9" hidden="1"/>
    <cellStyle name="Followed Hyperlink" xfId="282" builtinId="9" hidden="1"/>
    <cellStyle name="Followed Hyperlink" xfId="418" builtinId="9" hidden="1"/>
    <cellStyle name="Followed Hyperlink" xfId="389" builtinId="9" hidden="1"/>
    <cellStyle name="Followed Hyperlink" xfId="432" builtinId="9" hidden="1"/>
    <cellStyle name="Followed Hyperlink" xfId="367" builtinId="9" hidden="1"/>
    <cellStyle name="Followed Hyperlink" xfId="244" builtinId="9" hidden="1"/>
    <cellStyle name="Followed Hyperlink" xfId="386" builtinId="9" hidden="1"/>
    <cellStyle name="Followed Hyperlink" xfId="290" builtinId="9" hidden="1"/>
    <cellStyle name="Followed Hyperlink" xfId="240" builtinId="9" hidden="1"/>
    <cellStyle name="Followed Hyperlink" xfId="212" builtinId="9" hidden="1"/>
    <cellStyle name="Followed Hyperlink" xfId="369" builtinId="9" hidden="1"/>
    <cellStyle name="Followed Hyperlink" xfId="379" builtinId="9" hidden="1"/>
    <cellStyle name="Followed Hyperlink" xfId="364" builtinId="9" hidden="1"/>
    <cellStyle name="Followed Hyperlink" xfId="28" builtinId="9" hidden="1"/>
    <cellStyle name="Followed Hyperlink" xfId="411" builtinId="9" hidden="1"/>
    <cellStyle name="Followed Hyperlink" xfId="196" builtinId="9" hidden="1"/>
    <cellStyle name="Followed Hyperlink" xfId="353" builtinId="9" hidden="1"/>
    <cellStyle name="Followed Hyperlink" xfId="156" builtinId="9" hidden="1"/>
    <cellStyle name="Followed Hyperlink" xfId="22" builtinId="9" hidden="1"/>
    <cellStyle name="Followed Hyperlink" xfId="50" builtinId="9" hidden="1"/>
    <cellStyle name="Followed Hyperlink" xfId="148" builtinId="9" hidden="1"/>
    <cellStyle name="Followed Hyperlink" xfId="429" builtinId="9" hidden="1"/>
    <cellStyle name="Followed Hyperlink" xfId="413" builtinId="9" hidden="1"/>
    <cellStyle name="Followed Hyperlink" xfId="422" builtinId="9" hidden="1"/>
    <cellStyle name="Followed Hyperlink" xfId="230" builtinId="9" hidden="1"/>
    <cellStyle name="Followed Hyperlink" xfId="349" builtinId="9" hidden="1"/>
    <cellStyle name="Followed Hyperlink" xfId="118" builtinId="9" hidden="1"/>
    <cellStyle name="Followed Hyperlink" xfId="423" builtinId="9" hidden="1"/>
    <cellStyle name="Followed Hyperlink" xfId="398" builtinId="9" hidden="1"/>
    <cellStyle name="Followed Hyperlink" xfId="88" builtinId="9" hidden="1"/>
    <cellStyle name="Followed Hyperlink" xfId="62" builtinId="9" hidden="1"/>
    <cellStyle name="Followed Hyperlink" xfId="455" builtinId="9" hidden="1"/>
    <cellStyle name="Followed Hyperlink" xfId="446" builtinId="9" hidden="1"/>
    <cellStyle name="Followed Hyperlink" xfId="294" builtinId="9" hidden="1"/>
    <cellStyle name="Followed Hyperlink" xfId="264" builtinId="9" hidden="1"/>
    <cellStyle name="Followed Hyperlink" xfId="444" builtinId="9" hidden="1"/>
    <cellStyle name="Followed Hyperlink" xfId="136" builtinId="9" hidden="1"/>
    <cellStyle name="Followed Hyperlink" xfId="403" builtinId="9" hidden="1"/>
    <cellStyle name="Followed Hyperlink" xfId="256" builtinId="9" hidden="1"/>
    <cellStyle name="Followed Hyperlink" xfId="270" builtinId="9" hidden="1"/>
    <cellStyle name="Followed Hyperlink" xfId="437" builtinId="9" hidden="1"/>
    <cellStyle name="Followed Hyperlink" xfId="218" builtinId="9" hidden="1"/>
    <cellStyle name="Followed Hyperlink" xfId="76" builtinId="9" hidden="1"/>
    <cellStyle name="Followed Hyperlink" xfId="324" builtinId="9" hidden="1"/>
    <cellStyle name="Followed Hyperlink" xfId="321" builtinId="9" hidden="1"/>
    <cellStyle name="Followed Hyperlink" xfId="206" builtinId="9" hidden="1"/>
    <cellStyle name="Followed Hyperlink" xfId="228" builtinId="9" hidden="1"/>
    <cellStyle name="Followed Hyperlink" xfId="426" builtinId="9" hidden="1"/>
    <cellStyle name="Followed Hyperlink" xfId="150" builtinId="9" hidden="1"/>
    <cellStyle name="Followed Hyperlink" xfId="120" builtinId="9" hidden="1"/>
    <cellStyle name="Followed Hyperlink" xfId="200" builtinId="9" hidden="1"/>
    <cellStyle name="Followed Hyperlink" xfId="348" builtinId="9" hidden="1"/>
    <cellStyle name="Followed Hyperlink" xfId="16" builtinId="9" hidden="1"/>
    <cellStyle name="Followed Hyperlink" xfId="318" builtinId="9" hidden="1"/>
    <cellStyle name="Followed Hyperlink" xfId="44" builtinId="9" hidden="1"/>
    <cellStyle name="Followed Hyperlink" xfId="278" builtinId="9" hidden="1"/>
    <cellStyle name="Followed Hyperlink" xfId="126" builtinId="9" hidden="1"/>
    <cellStyle name="Followed Hyperlink" xfId="36" builtinId="9" hidden="1"/>
    <cellStyle name="Followed Hyperlink" xfId="317" builtinId="9" hidden="1"/>
    <cellStyle name="Followed Hyperlink" xfId="319" builtinId="9" hidden="1"/>
    <cellStyle name="Followed Hyperlink" xfId="38" builtinId="9" hidden="1"/>
    <cellStyle name="Followed Hyperlink" xfId="130" builtinId="9" hidden="1"/>
    <cellStyle name="Followed Hyperlink" xfId="114" builtinId="9" hidden="1"/>
    <cellStyle name="Followed Hyperlink" xfId="58" builtinId="9" hidden="1"/>
    <cellStyle name="Followed Hyperlink" xfId="42" builtinId="9" hidden="1"/>
    <cellStyle name="Followed Hyperlink" xfId="435" builtinId="9" hidden="1"/>
    <cellStyle name="Followed Hyperlink" xfId="30" builtinId="9" hidden="1"/>
    <cellStyle name="Followed Hyperlink" xfId="310" builtinId="9" hidden="1"/>
    <cellStyle name="Followed Hyperlink" xfId="9" builtinId="9" hidden="1"/>
    <cellStyle name="Followed Hyperlink" xfId="374" builtinId="9" hidden="1"/>
    <cellStyle name="Followed Hyperlink" xfId="428" builtinId="9" hidden="1"/>
    <cellStyle name="Followed Hyperlink" xfId="314" builtinId="9" hidden="1"/>
    <cellStyle name="Followed Hyperlink" xfId="284" builtinId="9" hidden="1"/>
    <cellStyle name="Followed Hyperlink" xfId="214" builtinId="9" hidden="1"/>
    <cellStyle name="Followed Hyperlink" xfId="146" builtinId="9" hidden="1"/>
    <cellStyle name="Followed Hyperlink" xfId="365" builtinId="9" hidden="1"/>
    <cellStyle name="Followed Hyperlink" xfId="329" builtinId="9" hidden="1"/>
    <cellStyle name="Followed Hyperlink" xfId="178" builtinId="9" hidden="1"/>
    <cellStyle name="Followed Hyperlink" xfId="226" builtinId="9" hidden="1"/>
    <cellStyle name="Followed Hyperlink" xfId="296" builtinId="9" hidden="1"/>
    <cellStyle name="Followed Hyperlink" xfId="427" builtinId="9" hidden="1"/>
    <cellStyle name="Followed Hyperlink" xfId="4" builtinId="9" hidden="1"/>
    <cellStyle name="Followed Hyperlink" xfId="443" builtinId="9" hidden="1"/>
    <cellStyle name="Followed Hyperlink" xfId="340" builtinId="9" hidden="1"/>
    <cellStyle name="Followed Hyperlink" xfId="242" builtinId="9" hidden="1"/>
    <cellStyle name="Followed Hyperlink" xfId="102" builtinId="9" hidden="1"/>
    <cellStyle name="Followed Hyperlink" xfId="184" builtinId="9" hidden="1"/>
    <cellStyle name="Followed Hyperlink" xfId="142" builtinId="9" hidden="1"/>
    <cellStyle name="Followed Hyperlink" xfId="268" builtinId="9" hidden="1"/>
    <cellStyle name="Followed Hyperlink" xfId="154" builtinId="9" hidden="1"/>
    <cellStyle name="Followed Hyperlink" xfId="144" builtinId="9" hidden="1"/>
    <cellStyle name="Followed Hyperlink" xfId="447" builtinId="9" hidden="1"/>
    <cellStyle name="Followed Hyperlink" xfId="350" builtinId="9" hidden="1"/>
    <cellStyle name="Followed Hyperlink" xfId="338" builtinId="9" hidden="1"/>
    <cellStyle name="Followed Hyperlink" xfId="337" builtinId="9" hidden="1"/>
    <cellStyle name="Followed Hyperlink" xfId="190" builtinId="9" hidden="1"/>
    <cellStyle name="Followed Hyperlink" xfId="406" builtinId="9" hidden="1"/>
    <cellStyle name="Followed Hyperlink" xfId="312" builtinId="9" hidden="1"/>
    <cellStyle name="Followed Hyperlink" xfId="152" builtinId="9" hidden="1"/>
    <cellStyle name="Followed Hyperlink" xfId="380" builtinId="9" hidden="1"/>
    <cellStyle name="Followed Hyperlink" xfId="222" builtinId="9" hidden="1"/>
    <cellStyle name="Followed Hyperlink" xfId="122" builtinId="9" hidden="1"/>
    <cellStyle name="Followed Hyperlink" xfId="248" builtinId="9" hidden="1"/>
    <cellStyle name="Followed Hyperlink" xfId="260" builtinId="9" hidden="1"/>
    <cellStyle name="Followed Hyperlink" xfId="454" builtinId="9" hidden="1"/>
    <cellStyle name="Followed Hyperlink" xfId="351" builtinId="9" hidden="1"/>
    <cellStyle name="Followed Hyperlink" xfId="80" builtinId="9" hidden="1"/>
    <cellStyle name="Followed Hyperlink" xfId="347" builtinId="9" hidden="1"/>
    <cellStyle name="Followed Hyperlink" xfId="108" builtinId="9" hidden="1"/>
    <cellStyle name="Followed Hyperlink" xfId="366" builtinId="9" hidden="1"/>
    <cellStyle name="Followed Hyperlink" xfId="315" builtinId="9" hidden="1"/>
    <cellStyle name="Followed Hyperlink" xfId="322" builtinId="9" hidden="1"/>
    <cellStyle name="Followed Hyperlink" xfId="74" builtinId="9" hidden="1"/>
    <cellStyle name="Followed Hyperlink" xfId="292" builtinId="9" hidden="1"/>
    <cellStyle name="Followed Hyperlink" xfId="100" builtinId="9" hidden="1"/>
    <cellStyle name="Followed Hyperlink" xfId="274" builtinId="9" hidden="1"/>
    <cellStyle name="Followed Hyperlink" xfId="266" builtinId="9" hidden="1"/>
    <cellStyle name="Followed Hyperlink" xfId="382" builtinId="9" hidden="1"/>
    <cellStyle name="Followed Hyperlink" xfId="262" builtinId="9" hidden="1"/>
    <cellStyle name="Followed Hyperlink" xfId="236" builtinId="9" hidden="1"/>
    <cellStyle name="Followed Hyperlink" xfId="60" builtinId="9" hidden="1"/>
    <cellStyle name="Followed Hyperlink" xfId="72" builtinId="9" hidden="1"/>
    <cellStyle name="Followed Hyperlink" xfId="330" builtinId="9" hidden="1"/>
    <cellStyle name="Followed Hyperlink" xfId="194" builtinId="9" hidden="1"/>
    <cellStyle name="Followed Hyperlink" xfId="224" builtinId="9" hidden="1"/>
    <cellStyle name="Followed Hyperlink" xfId="98" builtinId="9" hidden="1"/>
    <cellStyle name="Followed Hyperlink" xfId="356" builtinId="9" hidden="1"/>
    <cellStyle name="Followed Hyperlink" xfId="419" builtinId="9" hidden="1"/>
    <cellStyle name="Followed Hyperlink" xfId="449" builtinId="9" hidden="1"/>
    <cellStyle name="Followed Hyperlink" xfId="34" builtinId="9" hidden="1"/>
    <cellStyle name="Followed Hyperlink" xfId="381" builtinId="9" hidden="1"/>
    <cellStyle name="Followed Hyperlink" xfId="331" builtinId="9" hidden="1"/>
    <cellStyle name="Followed Hyperlink" xfId="387" builtinId="9" hidden="1"/>
    <cellStyle name="Followed Hyperlink" xfId="346" builtinId="9" hidden="1"/>
    <cellStyle name="Followed Hyperlink" xfId="362" builtinId="9" hidden="1"/>
    <cellStyle name="Followed Hyperlink" xfId="46" builtinId="9" hidden="1"/>
    <cellStyle name="Followed Hyperlink" xfId="82" builtinId="9" hidden="1"/>
    <cellStyle name="Followed Hyperlink" xfId="304" builtinId="9" hidden="1"/>
    <cellStyle name="Followed Hyperlink" xfId="168" builtinId="9" hidden="1"/>
    <cellStyle name="Followed Hyperlink" xfId="40" builtinId="9" hidden="1"/>
    <cellStyle name="Followed Hyperlink" xfId="390" builtinId="9" hidden="1"/>
    <cellStyle name="Followed Hyperlink" xfId="311" builtinId="9" hidden="1"/>
    <cellStyle name="Followed Hyperlink" xfId="298" builtinId="9" hidden="1"/>
    <cellStyle name="Followed Hyperlink" xfId="425" builtinId="9" hidden="1"/>
    <cellStyle name="Followed Hyperlink" xfId="138" builtinId="9" hidden="1"/>
    <cellStyle name="Followed Hyperlink" xfId="54" builtinId="9" hidden="1"/>
    <cellStyle name="Followed Hyperlink" xfId="339" builtinId="9" hidden="1"/>
    <cellStyle name="Followed Hyperlink" xfId="174" builtinId="9" hidden="1"/>
    <cellStyle name="Followed Hyperlink" xfId="433" builtinId="9" hidden="1"/>
    <cellStyle name="Followed Hyperlink" xfId="280" builtinId="9" hidden="1"/>
    <cellStyle name="Followed Hyperlink" xfId="393" builtinId="9" hidden="1"/>
    <cellStyle name="Followed Hyperlink" xfId="316" builtinId="9" hidden="1"/>
    <cellStyle name="Followed Hyperlink" xfId="440" builtinId="9" hidden="1"/>
    <cellStyle name="Followed Hyperlink" xfId="336" builtinId="9" hidden="1"/>
    <cellStyle name="Followed Hyperlink" xfId="323" builtinId="9" hidden="1"/>
    <cellStyle name="Followed Hyperlink" xfId="431" builtinId="9" hidden="1"/>
    <cellStyle name="Followed Hyperlink" xfId="402" builtinId="9" hidden="1"/>
    <cellStyle name="Followed Hyperlink" xfId="210" builtinId="9" hidden="1"/>
    <cellStyle name="Followed Hyperlink" xfId="434" builtinId="9" hidden="1"/>
    <cellStyle name="Followed Hyperlink" xfId="246" builtinId="9" hidden="1"/>
    <cellStyle name="Followed Hyperlink" xfId="395" builtinId="9" hidden="1"/>
    <cellStyle name="Followed Hyperlink" xfId="110" builtinId="9" hidden="1"/>
    <cellStyle name="Followed Hyperlink" xfId="391" builtinId="9" hidden="1"/>
    <cellStyle name="Followed Hyperlink" xfId="186" builtinId="9" hidden="1"/>
    <cellStyle name="Followed Hyperlink" xfId="436" builtinId="9" hidden="1"/>
    <cellStyle name="Followed Hyperlink" xfId="412" builtinId="9" hidden="1"/>
    <cellStyle name="Followed Hyperlink" xfId="400" builtinId="9" hidden="1"/>
    <cellStyle name="Followed Hyperlink" xfId="450" builtinId="9" hidden="1"/>
    <cellStyle name="Followed Hyperlink" xfId="408" builtinId="9" hidden="1"/>
    <cellStyle name="Followed Hyperlink" xfId="415" builtinId="9" hidden="1"/>
    <cellStyle name="Followed Hyperlink" xfId="445" builtinId="9" hidden="1"/>
    <cellStyle name="Followed Hyperlink" xfId="140" builtinId="9" hidden="1"/>
    <cellStyle name="Followed Hyperlink" xfId="441" builtinId="9" hidden="1"/>
    <cellStyle name="Followed Hyperlink" xfId="162" builtinId="9" hidden="1"/>
    <cellStyle name="Followed Hyperlink" xfId="216" builtinId="9" hidden="1"/>
    <cellStyle name="Followed Hyperlink" xfId="300" builtinId="9" hidden="1"/>
    <cellStyle name="Followed Hyperlink" xfId="430" builtinId="9" hidden="1"/>
    <cellStyle name="Followed Hyperlink" xfId="345" builtinId="9" hidden="1"/>
    <cellStyle name="Followed Hyperlink" xfId="409" builtinId="9" hidden="1"/>
    <cellStyle name="Followed Hyperlink" xfId="188" builtinId="9" hidden="1"/>
    <cellStyle name="Followed Hyperlink" xfId="421" builtinId="9" hidden="1"/>
    <cellStyle name="Followed Hyperlink" xfId="2" builtinId="9" hidden="1"/>
    <cellStyle name="Followed Hyperlink" xfId="56" builtinId="9" hidden="1"/>
    <cellStyle name="Followed Hyperlink" xfId="106" builtinId="9" hidden="1"/>
    <cellStyle name="Followed Hyperlink" xfId="176" builtinId="9" hidden="1"/>
    <cellStyle name="Followed Hyperlink" xfId="384" builtinId="9" hidden="1"/>
    <cellStyle name="Followed Hyperlink" xfId="401" builtinId="9" hidden="1"/>
    <cellStyle name="Followed Hyperlink" xfId="164" builtinId="9" hidden="1"/>
    <cellStyle name="Followed Hyperlink" xfId="18" builtinId="9" hidden="1"/>
    <cellStyle name="Followed Hyperlink" xfId="258" builtinId="9" hidden="1"/>
    <cellStyle name="Followed Hyperlink" xfId="358" builtinId="9" hidden="1"/>
    <cellStyle name="Followed Hyperlink" xfId="104" builtinId="9" hidden="1"/>
    <cellStyle name="Followed Hyperlink" xfId="392" builtinId="9" hidden="1"/>
    <cellStyle name="Followed Hyperlink" xfId="252" builtinId="9" hidden="1"/>
    <cellStyle name="Followed Hyperlink" xfId="24" builtinId="9" hidden="1"/>
    <cellStyle name="Followed Hyperlink" xfId="302" builtinId="9" hidden="1"/>
    <cellStyle name="Followed Hyperlink" xfId="377" builtinId="9" hidden="1"/>
    <cellStyle name="Followed Hyperlink" xfId="116" builtinId="9" hidden="1"/>
    <cellStyle name="Followed Hyperlink" xfId="376" builtinId="9" hidden="1"/>
    <cellStyle name="Followed Hyperlink" xfId="238" builtinId="9" hidden="1"/>
    <cellStyle name="Followed Hyperlink" xfId="352" builtinId="9" hidden="1"/>
    <cellStyle name="Followed Hyperlink" xfId="276" builtinId="9" hidden="1"/>
    <cellStyle name="Followed Hyperlink" xfId="11" builtinId="9" hidden="1"/>
    <cellStyle name="Followed Hyperlink" xfId="220" builtinId="9" hidden="1"/>
    <cellStyle name="Followed Hyperlink" xfId="172" builtinId="9" hidden="1"/>
    <cellStyle name="Followed Hyperlink" xfId="372" builtinId="9" hidden="1"/>
    <cellStyle name="Followed Hyperlink" xfId="417" builtinId="9" hidden="1"/>
    <cellStyle name="Followed Hyperlink" xfId="166" builtinId="9" hidden="1"/>
    <cellStyle name="Followed Hyperlink" xfId="132" builtinId="9" hidden="1"/>
    <cellStyle name="Followed Hyperlink" xfId="410" builtinId="9" hidden="1"/>
    <cellStyle name="Followed Hyperlink" xfId="355" builtinId="9" hidden="1"/>
    <cellStyle name="Followed Hyperlink" xfId="198" builtinId="9" hidden="1"/>
    <cellStyle name="Followed Hyperlink" xfId="344" builtinId="9" hidden="1"/>
    <cellStyle name="Followed Hyperlink" xfId="342" builtinId="9" hidden="1"/>
    <cellStyle name="Followed Hyperlink" xfId="414" builtinId="9" hidden="1"/>
    <cellStyle name="Followed Hyperlink" xfId="208" builtinId="9" hidden="1"/>
    <cellStyle name="Followed Hyperlink" xfId="170" builtinId="9" hidden="1"/>
    <cellStyle name="Followed Hyperlink" xfId="360" builtinId="9" hidden="1"/>
    <cellStyle name="Followed Hyperlink" xfId="394" builtinId="9" hidden="1"/>
    <cellStyle name="Followed Hyperlink" xfId="254" builtinId="9" hidden="1"/>
    <cellStyle name="Followed Hyperlink" xfId="70" builtinId="9" hidden="1"/>
    <cellStyle name="Followed Hyperlink" xfId="192" builtinId="9" hidden="1"/>
    <cellStyle name="Followed Hyperlink" xfId="388" builtinId="9" hidden="1"/>
    <cellStyle name="Followed Hyperlink" xfId="383" builtinId="9" hidden="1"/>
    <cellStyle name="Followed Hyperlink" xfId="250" builtinId="9" hidden="1"/>
    <cellStyle name="Followed Hyperlink" xfId="363" builtinId="9" hidden="1"/>
    <cellStyle name="Followed Hyperlink" xfId="112" builtinId="9" hidden="1"/>
    <cellStyle name="Followed Hyperlink" xfId="180" builtinId="9" hidden="1"/>
    <cellStyle name="Followed Hyperlink" xfId="335" builtinId="9" hidden="1"/>
    <cellStyle name="Followed Hyperlink" xfId="397" builtinId="9" hidden="1"/>
    <cellStyle name="Followed Hyperlink" xfId="359" builtinId="9" hidden="1"/>
    <cellStyle name="Followed Hyperlink" xfId="182" builtinId="9" hidden="1"/>
    <cellStyle name="Followed Hyperlink" xfId="361" builtinId="9" hidden="1"/>
    <cellStyle name="Followed Hyperlink" xfId="13" builtinId="9" hidden="1"/>
    <cellStyle name="Followed Hyperlink" xfId="370" builtinId="9" hidden="1"/>
    <cellStyle name="Followed Hyperlink" xfId="204" builtinId="9" hidden="1"/>
    <cellStyle name="Followed Hyperlink" xfId="286" builtinId="9" hidden="1"/>
    <cellStyle name="Followed Hyperlink" xfId="378" builtinId="9" hidden="1"/>
    <cellStyle name="Followed Hyperlink" xfId="405" builtinId="9" hidden="1"/>
    <cellStyle name="Followed Hyperlink" xfId="357" builtinId="9" hidden="1"/>
    <cellStyle name="Followed Hyperlink" xfId="234" builtinId="9" hidden="1"/>
    <cellStyle name="Followed Hyperlink" xfId="448" builtinId="9" hidden="1"/>
    <cellStyle name="Followed Hyperlink" xfId="78" builtinId="9" hidden="1"/>
    <cellStyle name="Followed Hyperlink" xfId="396" builtinId="9" hidden="1"/>
    <cellStyle name="Followed Hyperlink" xfId="354" builtinId="9" hidden="1"/>
    <cellStyle name="Followed Hyperlink" xfId="160" builtinId="9" hidden="1"/>
    <cellStyle name="Followed Hyperlink" xfId="404" builtinId="9" hidden="1"/>
    <cellStyle name="Followed Hyperlink" xfId="313" builtinId="9" hidden="1"/>
    <cellStyle name="Followed Hyperlink" xfId="48" builtinId="9" hidden="1"/>
    <cellStyle name="Followed Hyperlink" xfId="407" builtinId="9" hidden="1"/>
    <cellStyle name="Followed Hyperlink" xfId="68" builtinId="9" hidden="1"/>
    <cellStyle name="Followed Hyperlink" xfId="158" builtinId="9" hidden="1"/>
    <cellStyle name="Followed Hyperlink" xfId="84" builtinId="9" hidden="1"/>
    <cellStyle name="Followed Hyperlink" xfId="438" builtinId="9" hidden="1"/>
    <cellStyle name="Followed Hyperlink" xfId="333" builtinId="9" hidden="1"/>
    <cellStyle name="Followed Hyperlink" xfId="202" builtinId="9" hidden="1"/>
    <cellStyle name="Followed Hyperlink" xfId="232" builtinId="9" hidden="1"/>
    <cellStyle name="Followed Hyperlink" xfId="309" builtinId="9" hidden="1"/>
    <cellStyle name="Followed Hyperlink" xfId="341" builtinId="9" hidden="1"/>
    <cellStyle name="Followed Hyperlink" xfId="424" builtinId="9" hidden="1"/>
    <cellStyle name="Followed Hyperlink" xfId="288" builtinId="9" hidden="1"/>
    <cellStyle name="Followed Hyperlink" xfId="442" builtinId="9" hidden="1"/>
    <cellStyle name="Followed Hyperlink" xfId="20" builtinId="9" hidden="1"/>
    <cellStyle name="Followed Hyperlink" xfId="308" builtinId="9" hidden="1"/>
    <cellStyle name="Followed Hyperlink" xfId="399" builtinId="9" hidden="1"/>
    <cellStyle name="Followed Hyperlink" xfId="343" builtinId="9" hidden="1"/>
    <cellStyle name="Followed Hyperlink" xfId="385" builtinId="9" hidden="1"/>
    <cellStyle name="Followed Hyperlink" xfId="134" builtinId="9" hidden="1"/>
    <cellStyle name="Followed Hyperlink" xfId="451" builtinId="9" hidden="1"/>
    <cellStyle name="Followed Hyperlink" xfId="373" builtinId="9" hidden="1"/>
    <cellStyle name="Followed Hyperlink" xfId="6" builtinId="9" hidden="1"/>
    <cellStyle name="Followed Hyperlink" xfId="86" builtinId="9" hidden="1"/>
    <cellStyle name="Followed Hyperlink" xfId="272" builtinId="9" hidden="1"/>
    <cellStyle name="Followed Hyperlink" xfId="439" builtinId="9" hidden="1"/>
    <cellStyle name="Followed Hyperlink" xfId="328" builtinId="9" hidden="1"/>
    <cellStyle name="Followed Hyperlink" xfId="124" builtinId="9" hidden="1"/>
    <cellStyle name="Followed Hyperlink" xfId="332" builtinId="9" hidden="1"/>
    <cellStyle name="Followed Hyperlink" xfId="128" builtinId="9" hidden="1"/>
    <cellStyle name="Followed Hyperlink" xfId="94" builtinId="9" hidden="1"/>
    <cellStyle name="Followed Hyperlink" xfId="320" builtinId="9" hidden="1"/>
    <cellStyle name="Followed Hyperlink" xfId="334" builtinId="9" hidden="1"/>
    <cellStyle name="Followed Hyperlink" xfId="416" builtinId="9" hidden="1"/>
    <cellStyle name="Followed Hyperlink" xfId="32" builtinId="9" hidden="1"/>
    <cellStyle name="Followed Hyperlink" xfId="90" builtinId="9" hidden="1"/>
    <cellStyle name="Followed Hyperlink" xfId="452" builtinId="9" hidden="1"/>
    <cellStyle name="Followed Hyperlink" xfId="368" builtinId="9" hidden="1"/>
    <cellStyle name="Followed Hyperlink" xfId="453" builtinId="9" hidden="1"/>
    <cellStyle name="Followed Hyperlink" xfId="375" builtinId="9" hidden="1"/>
    <cellStyle name="Hyperlink" xfId="113" builtinId="8" hidden="1"/>
    <cellStyle name="Hyperlink" xfId="249" builtinId="8" hidden="1"/>
    <cellStyle name="Hyperlink" xfId="41" builtinId="8" hidden="1"/>
    <cellStyle name="Hyperlink" xfId="79" builtinId="8" hidden="1"/>
    <cellStyle name="Hyperlink" xfId="277" builtinId="8" hidden="1"/>
    <cellStyle name="Hyperlink" xfId="221" builtinId="8" hidden="1"/>
    <cellStyle name="Hyperlink" xfId="57" builtinId="8" hidden="1"/>
    <cellStyle name="Hyperlink" xfId="69" builtinId="8" hidden="1"/>
    <cellStyle name="Hyperlink" xfId="123" builtinId="8" hidden="1"/>
    <cellStyle name="Hyperlink" xfId="19" builtinId="8" hidden="1"/>
    <cellStyle name="Hyperlink" xfId="233" builtinId="8" hidden="1"/>
    <cellStyle name="Hyperlink" xfId="139" builtinId="8" hidden="1"/>
    <cellStyle name="Hyperlink" xfId="197" builtinId="8" hidden="1"/>
    <cellStyle name="Hyperlink" xfId="67" builtinId="8" hidden="1"/>
    <cellStyle name="Hyperlink" xfId="209" builtinId="8" hidden="1"/>
    <cellStyle name="Hyperlink" xfId="141" builtinId="8" hidden="1"/>
    <cellStyle name="Hyperlink" xfId="235" builtinId="8" hidden="1"/>
    <cellStyle name="Hyperlink" xfId="31" builtinId="8" hidden="1"/>
    <cellStyle name="Hyperlink" xfId="299" builtinId="8" hidden="1"/>
    <cellStyle name="Hyperlink" xfId="291" builtinId="8" hidden="1"/>
    <cellStyle name="Hyperlink" xfId="75" builtinId="8" hidden="1"/>
    <cellStyle name="Hyperlink" xfId="283" builtinId="8" hidden="1"/>
    <cellStyle name="Hyperlink" xfId="125" builtinId="8" hidden="1"/>
    <cellStyle name="Hyperlink" xfId="35" builtinId="8" hidden="1"/>
    <cellStyle name="Hyperlink" xfId="43" builtinId="8" hidden="1"/>
    <cellStyle name="Hyperlink" xfId="87" builtinId="8" hidden="1"/>
    <cellStyle name="Hyperlink" xfId="225" builtinId="8" hidden="1"/>
    <cellStyle name="Hyperlink" xfId="81" builtinId="8" hidden="1"/>
    <cellStyle name="Hyperlink" xfId="85" builtinId="8" hidden="1"/>
    <cellStyle name="Hyperlink" xfId="293" builtinId="8" hidden="1"/>
    <cellStyle name="Hyperlink" xfId="27" builtinId="8" hidden="1"/>
    <cellStyle name="Hyperlink" xfId="8" builtinId="8" hidden="1"/>
    <cellStyle name="Hyperlink" xfId="135" builtinId="8" hidden="1"/>
    <cellStyle name="Hyperlink" xfId="239" builtinId="8" hidden="1"/>
    <cellStyle name="Hyperlink" xfId="51" builtinId="8" hidden="1"/>
    <cellStyle name="Hyperlink" xfId="93" builtinId="8" hidden="1"/>
    <cellStyle name="Hyperlink" xfId="271" builtinId="8" hidden="1"/>
    <cellStyle name="Hyperlink" xfId="39" builtinId="8" hidden="1"/>
    <cellStyle name="Hyperlink" xfId="193" builtinId="8" hidden="1"/>
    <cellStyle name="Hyperlink" xfId="287" builtinId="8" hidden="1"/>
    <cellStyle name="Hyperlink" xfId="159" builtinId="8" hidden="1"/>
    <cellStyle name="Hyperlink" xfId="253" builtinId="8" hidden="1"/>
    <cellStyle name="Hyperlink" xfId="201" builtinId="8" hidden="1"/>
    <cellStyle name="Hyperlink" xfId="55" builtinId="8" hidden="1"/>
    <cellStyle name="Hyperlink" xfId="213" builtinId="8" hidden="1"/>
    <cellStyle name="Hyperlink" xfId="107" builtinId="8" hidden="1"/>
    <cellStyle name="Hyperlink" xfId="131" builtinId="8" hidden="1"/>
    <cellStyle name="Hyperlink" xfId="103" builtinId="8" hidden="1"/>
    <cellStyle name="Hyperlink" xfId="161" builtinId="8" hidden="1"/>
    <cellStyle name="Hyperlink" xfId="25" builtinId="8" hidden="1"/>
    <cellStyle name="Hyperlink" xfId="167" builtinId="8" hidden="1"/>
    <cellStyle name="Hyperlink" xfId="91" builtinId="8" hidden="1"/>
    <cellStyle name="Hyperlink" xfId="285" builtinId="8" hidden="1"/>
    <cellStyle name="Hyperlink" xfId="171" builtinId="8" hidden="1"/>
    <cellStyle name="Hyperlink" xfId="3" builtinId="8" hidden="1"/>
    <cellStyle name="Hyperlink" xfId="185" builtinId="8" hidden="1"/>
    <cellStyle name="Hyperlink" xfId="15" builtinId="8" hidden="1"/>
    <cellStyle name="Hyperlink" xfId="205" builtinId="8" hidden="1"/>
    <cellStyle name="Hyperlink" xfId="237" builtinId="8" hidden="1"/>
    <cellStyle name="Hyperlink" xfId="243" builtinId="8" hidden="1"/>
    <cellStyle name="Hyperlink" xfId="37" builtinId="8" hidden="1"/>
    <cellStyle name="Hyperlink" xfId="269" builtinId="8" hidden="1"/>
    <cellStyle name="Hyperlink" xfId="155" builtinId="8" hidden="1"/>
    <cellStyle name="Hyperlink" xfId="89" builtinId="8" hidden="1"/>
    <cellStyle name="Hyperlink" xfId="297" builtinId="8" hidden="1"/>
    <cellStyle name="Hyperlink" xfId="247" builtinId="8" hidden="1"/>
    <cellStyle name="Hyperlink" xfId="47" builtinId="8" hidden="1"/>
    <cellStyle name="Hyperlink" xfId="145" builtinId="8" hidden="1"/>
    <cellStyle name="Hyperlink" xfId="17" builtinId="8" hidden="1"/>
    <cellStyle name="Hyperlink" xfId="177" builtinId="8" hidden="1"/>
    <cellStyle name="Hyperlink" xfId="189" builtinId="8" hidden="1"/>
    <cellStyle name="Hyperlink" xfId="1" builtinId="8" hidden="1"/>
    <cellStyle name="Hyperlink" xfId="267" builtinId="8" hidden="1"/>
    <cellStyle name="Hyperlink" xfId="273" builtinId="8" hidden="1"/>
    <cellStyle name="Hyperlink" xfId="211" builtinId="8" hidden="1"/>
    <cellStyle name="Hyperlink" xfId="303" builtinId="8" hidden="1"/>
    <cellStyle name="Hyperlink" xfId="29" builtinId="8" hidden="1"/>
    <cellStyle name="Hyperlink" xfId="203" builtinId="8" hidden="1"/>
    <cellStyle name="Hyperlink" xfId="263" builtinId="8" hidden="1"/>
    <cellStyle name="Hyperlink" xfId="215" builtinId="8" hidden="1"/>
    <cellStyle name="Hyperlink" xfId="59" builtinId="8" hidden="1"/>
    <cellStyle name="Hyperlink" xfId="173" builtinId="8" hidden="1"/>
    <cellStyle name="Hyperlink" xfId="119" builtinId="8" hidden="1"/>
    <cellStyle name="Hyperlink" xfId="169" builtinId="8" hidden="1"/>
    <cellStyle name="Hyperlink" xfId="53" builtinId="8" hidden="1"/>
    <cellStyle name="Hyperlink" xfId="115" builtinId="8" hidden="1"/>
    <cellStyle name="Hyperlink" xfId="21" builtinId="8" hidden="1"/>
    <cellStyle name="Hyperlink" xfId="133" builtinId="8" hidden="1"/>
    <cellStyle name="Hyperlink" xfId="301" builtinId="8" hidden="1"/>
    <cellStyle name="Hyperlink" xfId="295" builtinId="8" hidden="1"/>
    <cellStyle name="Hyperlink" xfId="23" builtinId="8" hidden="1"/>
    <cellStyle name="Hyperlink" xfId="183" builtinId="8" hidden="1"/>
    <cellStyle name="Hyperlink" xfId="257" builtinId="8" hidden="1"/>
    <cellStyle name="Hyperlink" xfId="97" builtinId="8" hidden="1"/>
    <cellStyle name="Hyperlink" xfId="5" builtinId="8" hidden="1"/>
    <cellStyle name="Hyperlink" xfId="143" builtinId="8" hidden="1"/>
    <cellStyle name="Hyperlink" xfId="73" builtinId="8" hidden="1"/>
    <cellStyle name="Hyperlink" xfId="105" builtinId="8" hidden="1"/>
    <cellStyle name="Hyperlink" xfId="49" builtinId="8" hidden="1"/>
    <cellStyle name="Hyperlink" xfId="241" builtinId="8" hidden="1"/>
    <cellStyle name="Hyperlink" xfId="45" builtinId="8" hidden="1"/>
    <cellStyle name="Hyperlink" xfId="137" builtinId="8" hidden="1"/>
    <cellStyle name="Hyperlink" xfId="181" builtinId="8" hidden="1"/>
    <cellStyle name="Hyperlink" xfId="219" builtinId="8" hidden="1"/>
    <cellStyle name="Hyperlink" xfId="149" builtinId="8" hidden="1"/>
    <cellStyle name="Hyperlink" xfId="121" builtinId="8" hidden="1"/>
    <cellStyle name="Hyperlink" xfId="191" builtinId="8" hidden="1"/>
    <cellStyle name="Hyperlink" xfId="175" builtinId="8" hidden="1"/>
    <cellStyle name="Hyperlink" xfId="153" builtinId="8" hidden="1"/>
    <cellStyle name="Hyperlink" xfId="195" builtinId="8" hidden="1"/>
    <cellStyle name="Hyperlink" xfId="83" builtinId="8" hidden="1"/>
    <cellStyle name="Hyperlink" xfId="289" builtinId="8" hidden="1"/>
    <cellStyle name="Hyperlink" xfId="217" builtinId="8" hidden="1"/>
    <cellStyle name="Hyperlink" xfId="151" builtinId="8" hidden="1"/>
    <cellStyle name="Hyperlink" xfId="281" builtinId="8" hidden="1"/>
    <cellStyle name="Hyperlink" xfId="163" builtinId="8" hidden="1"/>
    <cellStyle name="Hyperlink" xfId="95" builtinId="8" hidden="1"/>
    <cellStyle name="Hyperlink" xfId="275" builtinId="8" hidden="1"/>
    <cellStyle name="Hyperlink" xfId="279" builtinId="8" hidden="1"/>
    <cellStyle name="Hyperlink" xfId="33" builtinId="8" hidden="1"/>
    <cellStyle name="Hyperlink" xfId="101" builtinId="8" hidden="1"/>
    <cellStyle name="Hyperlink" xfId="179" builtinId="8" hidden="1"/>
    <cellStyle name="Hyperlink" xfId="111" builtinId="8" hidden="1"/>
    <cellStyle name="Hyperlink" xfId="227" builtinId="8" hidden="1"/>
    <cellStyle name="Hyperlink" xfId="147" builtinId="8" hidden="1"/>
    <cellStyle name="Hyperlink" xfId="61" builtinId="8" hidden="1"/>
    <cellStyle name="Hyperlink" xfId="261" builtinId="8" hidden="1"/>
    <cellStyle name="Hyperlink" xfId="127" builtinId="8" hidden="1"/>
    <cellStyle name="Hyperlink" xfId="10" builtinId="8" hidden="1"/>
    <cellStyle name="Hyperlink" xfId="99" builtinId="8" hidden="1"/>
    <cellStyle name="Hyperlink" xfId="109" builtinId="8" hidden="1"/>
    <cellStyle name="Hyperlink" xfId="12" builtinId="8" hidden="1"/>
    <cellStyle name="Hyperlink" xfId="129" builtinId="8" hidden="1"/>
    <cellStyle name="Hyperlink" xfId="157" builtinId="8" hidden="1"/>
    <cellStyle name="Hyperlink" xfId="265" builtinId="8" hidden="1"/>
    <cellStyle name="Hyperlink" xfId="259" builtinId="8" hidden="1"/>
    <cellStyle name="Hyperlink" xfId="207" builtinId="8" hidden="1"/>
    <cellStyle name="Hyperlink" xfId="251" builtinId="8" hidden="1"/>
    <cellStyle name="Hyperlink" xfId="231" builtinId="8" hidden="1"/>
    <cellStyle name="Hyperlink" xfId="117" builtinId="8" hidden="1"/>
    <cellStyle name="Hyperlink" xfId="255" builtinId="8" hidden="1"/>
    <cellStyle name="Hyperlink" xfId="223" builtinId="8" hidden="1"/>
    <cellStyle name="Hyperlink" xfId="229" builtinId="8" hidden="1"/>
    <cellStyle name="Hyperlink" xfId="187" builtinId="8" hidden="1"/>
    <cellStyle name="Hyperlink" xfId="165" builtinId="8" hidden="1"/>
    <cellStyle name="Hyperlink" xfId="199" builtinId="8" hidden="1"/>
    <cellStyle name="Hyperlink" xfId="245" builtinId="8" hidden="1"/>
    <cellStyle name="Hyperlink" xfId="71" builtinId="8" hidden="1"/>
    <cellStyle name="Hyperlink" xfId="77" builtinId="8" hidden="1"/>
    <cellStyle name="Hyperlink" xfId="305" builtinId="8"/>
    <cellStyle name="Normal" xfId="0" builtinId="0"/>
    <cellStyle name="Normal 2" xfId="63" xr:uid="{00000000-0005-0000-0000-0000C3010000}"/>
    <cellStyle name="Normal 2 2" xfId="66" xr:uid="{00000000-0005-0000-0000-0000C4010000}"/>
    <cellStyle name="Normal 3" xfId="306" xr:uid="{00000000-0005-0000-0000-0000C5010000}"/>
    <cellStyle name="Normal 4" xfId="325" xr:uid="{00000000-0005-0000-0000-0000C6010000}"/>
    <cellStyle name="Percent 2" xfId="327" xr:uid="{00000000-0005-0000-0000-0000C7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'27-Withdrawals'!$C$3</c:f>
              <c:strCache>
                <c:ptCount val="1"/>
                <c:pt idx="0">
                  <c:v>S.B. Codorus Creek</c:v>
                </c:pt>
              </c:strCache>
            </c:strRef>
          </c:tx>
          <c:spPr>
            <a:solidFill>
              <a:schemeClr val="accent1">
                <a:lumMod val="75000"/>
                <a:alpha val="70000"/>
              </a:schemeClr>
            </a:solidFill>
            <a:ln>
              <a:noFill/>
            </a:ln>
            <a:effectLst/>
          </c:spPr>
          <c:cat>
            <c:strRef>
              <c:f>'27-Withdrawals'!$B$4:$B$15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'27-Withdrawals'!$C$4:$C$15</c:f>
              <c:numCache>
                <c:formatCode>#,##0</c:formatCode>
                <c:ptCount val="12"/>
                <c:pt idx="0">
                  <c:v>617991000</c:v>
                </c:pt>
                <c:pt idx="1">
                  <c:v>513969000</c:v>
                </c:pt>
                <c:pt idx="2">
                  <c:v>565512000</c:v>
                </c:pt>
                <c:pt idx="3">
                  <c:v>554611000</c:v>
                </c:pt>
                <c:pt idx="4">
                  <c:v>622325000</c:v>
                </c:pt>
                <c:pt idx="5">
                  <c:v>612517000</c:v>
                </c:pt>
                <c:pt idx="6">
                  <c:v>658676000</c:v>
                </c:pt>
                <c:pt idx="7">
                  <c:v>631133000</c:v>
                </c:pt>
                <c:pt idx="8">
                  <c:v>614751000</c:v>
                </c:pt>
                <c:pt idx="9">
                  <c:v>626449000</c:v>
                </c:pt>
                <c:pt idx="10">
                  <c:v>499138000</c:v>
                </c:pt>
                <c:pt idx="11">
                  <c:v>474260000</c:v>
                </c:pt>
              </c:numCache>
            </c:numRef>
          </c:val>
          <c:extLst>
            <c:ext xmlns:c16="http://schemas.microsoft.com/office/drawing/2014/chart" uri="{C3380CC4-5D6E-409C-BE32-E72D297353CC}">
              <c16:uniqueId val="{00000000-D834-403A-91DF-0B2B07102157}"/>
            </c:ext>
          </c:extLst>
        </c:ser>
        <c:ser>
          <c:idx val="1"/>
          <c:order val="1"/>
          <c:tx>
            <c:strRef>
              <c:f>'27-Withdrawals'!$D$3</c:f>
              <c:strCache>
                <c:ptCount val="1"/>
                <c:pt idx="0">
                  <c:v>Susquehanna River</c:v>
                </c:pt>
              </c:strCache>
            </c:strRef>
          </c:tx>
          <c:spPr>
            <a:solidFill>
              <a:schemeClr val="accent2"/>
            </a:solidFill>
            <a:ln>
              <a:noFill/>
            </a:ln>
            <a:effectLst/>
          </c:spPr>
          <c:cat>
            <c:strRef>
              <c:f>'27-Withdrawals'!$B$4:$B$15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'27-Withdrawals'!$D$4:$D$15</c:f>
              <c:numCache>
                <c:formatCode>General</c:formatCode>
                <c:ptCount val="12"/>
                <c:pt idx="0" formatCode="#,##0">
                  <c:v>0</c:v>
                </c:pt>
                <c:pt idx="1">
                  <c:v>1200000</c:v>
                </c:pt>
                <c:pt idx="2" formatCode="#,##0">
                  <c:v>1500000</c:v>
                </c:pt>
                <c:pt idx="3" formatCode="#,##0">
                  <c:v>1300000</c:v>
                </c:pt>
                <c:pt idx="4" formatCode="#,##0">
                  <c:v>1300000</c:v>
                </c:pt>
                <c:pt idx="5" formatCode="#,##0">
                  <c:v>1400000</c:v>
                </c:pt>
                <c:pt idx="6" formatCode="#,##0">
                  <c:v>0</c:v>
                </c:pt>
                <c:pt idx="7" formatCode="#,##0">
                  <c:v>1200000</c:v>
                </c:pt>
                <c:pt idx="8" formatCode="#,##0">
                  <c:v>600000</c:v>
                </c:pt>
                <c:pt idx="9">
                  <c:v>1200000</c:v>
                </c:pt>
                <c:pt idx="10" formatCode="#,##0">
                  <c:v>900000</c:v>
                </c:pt>
                <c:pt idx="11" formatCode="#,##0">
                  <c:v>2000000</c:v>
                </c:pt>
              </c:numCache>
            </c:numRef>
          </c:val>
          <c:extLst>
            <c:ext xmlns:c16="http://schemas.microsoft.com/office/drawing/2014/chart" uri="{C3380CC4-5D6E-409C-BE32-E72D297353CC}">
              <c16:uniqueId val="{00000001-D834-403A-91DF-0B2B07102157}"/>
            </c:ext>
          </c:extLst>
        </c:ser>
        <c:ser>
          <c:idx val="2"/>
          <c:order val="2"/>
          <c:tx>
            <c:strRef>
              <c:f>'27-Withdrawals'!$E$3</c:f>
              <c:strCache>
                <c:ptCount val="1"/>
                <c:pt idx="0">
                  <c:v>Well 1 Carroll</c:v>
                </c:pt>
              </c:strCache>
            </c:strRef>
          </c:tx>
          <c:spPr>
            <a:solidFill>
              <a:schemeClr val="accent3"/>
            </a:solidFill>
            <a:ln>
              <a:noFill/>
            </a:ln>
            <a:effectLst/>
          </c:spPr>
          <c:cat>
            <c:strRef>
              <c:f>'27-Withdrawals'!$B$4:$B$15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'27-Withdrawals'!$E$4:$E$15</c:f>
              <c:numCache>
                <c:formatCode>#,##0</c:formatCode>
                <c:ptCount val="12"/>
                <c:pt idx="0">
                  <c:v>256000</c:v>
                </c:pt>
                <c:pt idx="1">
                  <c:v>237000</c:v>
                </c:pt>
                <c:pt idx="2">
                  <c:v>272000</c:v>
                </c:pt>
                <c:pt idx="3">
                  <c:v>268000</c:v>
                </c:pt>
                <c:pt idx="4">
                  <c:v>296000</c:v>
                </c:pt>
                <c:pt idx="5">
                  <c:v>324000</c:v>
                </c:pt>
                <c:pt idx="6">
                  <c:v>496000</c:v>
                </c:pt>
                <c:pt idx="7">
                  <c:v>763000</c:v>
                </c:pt>
                <c:pt idx="8">
                  <c:v>866000</c:v>
                </c:pt>
                <c:pt idx="9">
                  <c:v>851000</c:v>
                </c:pt>
                <c:pt idx="10">
                  <c:v>683000</c:v>
                </c:pt>
                <c:pt idx="11">
                  <c:v>257000</c:v>
                </c:pt>
              </c:numCache>
            </c:numRef>
          </c:val>
          <c:extLst>
            <c:ext xmlns:c16="http://schemas.microsoft.com/office/drawing/2014/chart" uri="{C3380CC4-5D6E-409C-BE32-E72D297353CC}">
              <c16:uniqueId val="{00000002-D834-403A-91DF-0B2B07102157}"/>
            </c:ext>
          </c:extLst>
        </c:ser>
        <c:ser>
          <c:idx val="3"/>
          <c:order val="3"/>
          <c:tx>
            <c:strRef>
              <c:f>'27-Withdrawals'!$F$3</c:f>
              <c:strCache>
                <c:ptCount val="1"/>
                <c:pt idx="0">
                  <c:v>Well 2 Carroll</c:v>
                </c:pt>
              </c:strCache>
            </c:strRef>
          </c:tx>
          <c:spPr>
            <a:solidFill>
              <a:schemeClr val="accent4"/>
            </a:solidFill>
            <a:ln>
              <a:noFill/>
            </a:ln>
            <a:effectLst/>
          </c:spPr>
          <c:cat>
            <c:strRef>
              <c:f>'27-Withdrawals'!$B$4:$B$15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'27-Withdrawals'!$F$4:$F$15</c:f>
              <c:numCache>
                <c:formatCode>#,##0</c:formatCode>
                <c:ptCount val="12"/>
                <c:pt idx="0">
                  <c:v>265000</c:v>
                </c:pt>
                <c:pt idx="1">
                  <c:v>215000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D834-403A-91DF-0B2B07102157}"/>
            </c:ext>
          </c:extLst>
        </c:ser>
        <c:ser>
          <c:idx val="4"/>
          <c:order val="4"/>
          <c:tx>
            <c:strRef>
              <c:f>'27-Withdrawals'!$G$3</c:f>
              <c:strCache>
                <c:ptCount val="1"/>
                <c:pt idx="0">
                  <c:v>Well 1 E. Cumberland</c:v>
                </c:pt>
              </c:strCache>
            </c:strRef>
          </c:tx>
          <c:spPr>
            <a:solidFill>
              <a:schemeClr val="accent5"/>
            </a:solidFill>
            <a:ln>
              <a:noFill/>
            </a:ln>
            <a:effectLst/>
          </c:spPr>
          <c:cat>
            <c:strRef>
              <c:f>'27-Withdrawals'!$B$4:$B$15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'27-Withdrawals'!$G$4:$G$15</c:f>
              <c:numCache>
                <c:formatCode>#,##0</c:formatCode>
                <c:ptCount val="12"/>
                <c:pt idx="0">
                  <c:v>441555</c:v>
                </c:pt>
                <c:pt idx="1">
                  <c:v>390862</c:v>
                </c:pt>
                <c:pt idx="2">
                  <c:v>432854</c:v>
                </c:pt>
                <c:pt idx="3">
                  <c:v>420116</c:v>
                </c:pt>
                <c:pt idx="4">
                  <c:v>432218</c:v>
                </c:pt>
                <c:pt idx="5">
                  <c:v>416895</c:v>
                </c:pt>
                <c:pt idx="6">
                  <c:v>441120</c:v>
                </c:pt>
                <c:pt idx="7">
                  <c:v>433243</c:v>
                </c:pt>
                <c:pt idx="8">
                  <c:v>427086</c:v>
                </c:pt>
                <c:pt idx="9">
                  <c:v>454551</c:v>
                </c:pt>
                <c:pt idx="10">
                  <c:v>439297</c:v>
                </c:pt>
                <c:pt idx="11">
                  <c:v>454611</c:v>
                </c:pt>
              </c:numCache>
            </c:numRef>
          </c:val>
          <c:extLst>
            <c:ext xmlns:c16="http://schemas.microsoft.com/office/drawing/2014/chart" uri="{C3380CC4-5D6E-409C-BE32-E72D297353CC}">
              <c16:uniqueId val="{00000004-D834-403A-91DF-0B2B07102157}"/>
            </c:ext>
          </c:extLst>
        </c:ser>
        <c:ser>
          <c:idx val="5"/>
          <c:order val="5"/>
          <c:tx>
            <c:strRef>
              <c:f>'27-Withdrawals'!$H$3</c:f>
              <c:strCache>
                <c:ptCount val="1"/>
                <c:pt idx="0">
                  <c:v>Well 2 E. Cumberland</c:v>
                </c:pt>
              </c:strCache>
            </c:strRef>
          </c:tx>
          <c:spPr>
            <a:solidFill>
              <a:schemeClr val="accent6"/>
            </a:solidFill>
            <a:ln>
              <a:noFill/>
            </a:ln>
            <a:effectLst/>
          </c:spPr>
          <c:cat>
            <c:strRef>
              <c:f>'27-Withdrawals'!$B$4:$B$15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'27-Withdrawals'!$H$4:$H$15</c:f>
              <c:numCache>
                <c:formatCode>#,##0</c:formatCode>
                <c:ptCount val="12"/>
                <c:pt idx="0">
                  <c:v>437267</c:v>
                </c:pt>
                <c:pt idx="1">
                  <c:v>387086</c:v>
                </c:pt>
                <c:pt idx="2">
                  <c:v>427443</c:v>
                </c:pt>
                <c:pt idx="3">
                  <c:v>414945</c:v>
                </c:pt>
                <c:pt idx="4">
                  <c:v>425672</c:v>
                </c:pt>
                <c:pt idx="5">
                  <c:v>409575</c:v>
                </c:pt>
                <c:pt idx="6">
                  <c:v>428455</c:v>
                </c:pt>
                <c:pt idx="7">
                  <c:v>423082</c:v>
                </c:pt>
                <c:pt idx="8">
                  <c:v>418172</c:v>
                </c:pt>
                <c:pt idx="9">
                  <c:v>443153</c:v>
                </c:pt>
                <c:pt idx="10">
                  <c:v>429142</c:v>
                </c:pt>
                <c:pt idx="11">
                  <c:v>433611</c:v>
                </c:pt>
              </c:numCache>
            </c:numRef>
          </c:val>
          <c:extLst>
            <c:ext xmlns:c16="http://schemas.microsoft.com/office/drawing/2014/chart" uri="{C3380CC4-5D6E-409C-BE32-E72D297353CC}">
              <c16:uniqueId val="{00000005-D834-403A-91DF-0B2B07102157}"/>
            </c:ext>
          </c:extLst>
        </c:ser>
        <c:ser>
          <c:idx val="6"/>
          <c:order val="6"/>
          <c:tx>
            <c:strRef>
              <c:f>'27-Withdrawals'!$I$3</c:f>
              <c:strCache>
                <c:ptCount val="1"/>
                <c:pt idx="0">
                  <c:v>Well 3 W. Cumberland</c:v>
                </c:pt>
              </c:strCache>
            </c:strRef>
          </c:tx>
          <c:spPr>
            <a:solidFill>
              <a:schemeClr val="accent1">
                <a:lumMod val="60000"/>
              </a:schemeClr>
            </a:solidFill>
            <a:ln>
              <a:noFill/>
            </a:ln>
            <a:effectLst/>
          </c:spPr>
          <c:cat>
            <c:strRef>
              <c:f>'27-Withdrawals'!$B$4:$B$15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'27-Withdrawals'!$I$4:$I$15</c:f>
              <c:numCache>
                <c:formatCode>#,##0</c:formatCode>
                <c:ptCount val="12"/>
                <c:pt idx="0">
                  <c:v>440931</c:v>
                </c:pt>
                <c:pt idx="1">
                  <c:v>370872</c:v>
                </c:pt>
                <c:pt idx="2">
                  <c:v>371824</c:v>
                </c:pt>
                <c:pt idx="3">
                  <c:v>348346</c:v>
                </c:pt>
                <c:pt idx="4">
                  <c:v>387426</c:v>
                </c:pt>
                <c:pt idx="5">
                  <c:v>391285</c:v>
                </c:pt>
                <c:pt idx="6">
                  <c:v>389167</c:v>
                </c:pt>
                <c:pt idx="7">
                  <c:v>365983</c:v>
                </c:pt>
                <c:pt idx="8">
                  <c:v>463530</c:v>
                </c:pt>
                <c:pt idx="9">
                  <c:v>464983</c:v>
                </c:pt>
                <c:pt idx="10">
                  <c:v>383246</c:v>
                </c:pt>
                <c:pt idx="11">
                  <c:v>392012</c:v>
                </c:pt>
              </c:numCache>
            </c:numRef>
          </c:val>
          <c:extLst>
            <c:ext xmlns:c16="http://schemas.microsoft.com/office/drawing/2014/chart" uri="{C3380CC4-5D6E-409C-BE32-E72D297353CC}">
              <c16:uniqueId val="{00000006-D834-403A-91DF-0B2B07102157}"/>
            </c:ext>
          </c:extLst>
        </c:ser>
        <c:ser>
          <c:idx val="7"/>
          <c:order val="7"/>
          <c:tx>
            <c:strRef>
              <c:f>'27-Withdrawals'!$J$3</c:f>
              <c:strCache>
                <c:ptCount val="1"/>
                <c:pt idx="0">
                  <c:v>Well 5 W. Cumberland</c:v>
                </c:pt>
              </c:strCache>
            </c:strRef>
          </c:tx>
          <c:spPr>
            <a:solidFill>
              <a:schemeClr val="accent2">
                <a:lumMod val="60000"/>
              </a:schemeClr>
            </a:solidFill>
            <a:ln>
              <a:noFill/>
            </a:ln>
            <a:effectLst/>
          </c:spPr>
          <c:cat>
            <c:strRef>
              <c:f>'27-Withdrawals'!$B$4:$B$15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'27-Withdrawals'!$J$4:$J$15</c:f>
              <c:numCache>
                <c:formatCode>#,##0</c:formatCode>
                <c:ptCount val="12"/>
                <c:pt idx="0">
                  <c:v>282069</c:v>
                </c:pt>
                <c:pt idx="1">
                  <c:v>237128</c:v>
                </c:pt>
                <c:pt idx="2">
                  <c:v>234176</c:v>
                </c:pt>
                <c:pt idx="3">
                  <c:v>227654</c:v>
                </c:pt>
                <c:pt idx="4">
                  <c:v>244574</c:v>
                </c:pt>
                <c:pt idx="5">
                  <c:v>251715</c:v>
                </c:pt>
                <c:pt idx="6">
                  <c:v>247833</c:v>
                </c:pt>
                <c:pt idx="7">
                  <c:v>234017</c:v>
                </c:pt>
                <c:pt idx="8">
                  <c:v>297470</c:v>
                </c:pt>
                <c:pt idx="9">
                  <c:v>297017</c:v>
                </c:pt>
                <c:pt idx="10">
                  <c:v>244754</c:v>
                </c:pt>
                <c:pt idx="11">
                  <c:v>250988</c:v>
                </c:pt>
              </c:numCache>
            </c:numRef>
          </c:val>
          <c:extLst>
            <c:ext xmlns:c16="http://schemas.microsoft.com/office/drawing/2014/chart" uri="{C3380CC4-5D6E-409C-BE32-E72D297353CC}">
              <c16:uniqueId val="{00000007-D834-403A-91DF-0B2B07102157}"/>
            </c:ext>
          </c:extLst>
        </c:ser>
        <c:dLbls>
          <c:showLegendKey val="0"/>
          <c:showVal val="0"/>
          <c:showCatName val="0"/>
          <c:showSerName val="0"/>
          <c:showPercent val="0"/>
          <c:showBubbleSize val="0"/>
        </c:dLbls>
        <c:axId val="32097911"/>
        <c:axId val="32093751"/>
      </c:areaChart>
      <c:catAx>
        <c:axId val="32097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Helvetica" pitchFamily="2" charset="0"/>
                <a:ea typeface="+mn-ea"/>
                <a:cs typeface="+mn-cs"/>
              </a:defRPr>
            </a:pPr>
            <a:endParaRPr lang="en-US"/>
          </a:p>
        </c:txPr>
        <c:crossAx val="32093751"/>
        <c:crosses val="autoZero"/>
        <c:auto val="1"/>
        <c:lblAlgn val="ctr"/>
        <c:lblOffset val="100"/>
        <c:noMultiLvlLbl val="0"/>
      </c:catAx>
      <c:valAx>
        <c:axId val="320937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Helvetica" pitchFamily="2" charset="0"/>
                <a:ea typeface="+mn-ea"/>
                <a:cs typeface="+mn-cs"/>
              </a:defRPr>
            </a:pPr>
            <a:endParaRPr lang="en-US"/>
          </a:p>
        </c:txPr>
        <c:crossAx val="320979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Helvetica" pitchFamily="2"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Helvetica"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'31-Demand'!$C$4</c:f>
              <c:strCache>
                <c:ptCount val="1"/>
                <c:pt idx="0">
                  <c:v>Residential</c:v>
                </c:pt>
              </c:strCache>
            </c:strRef>
          </c:tx>
          <c:spPr>
            <a:solidFill>
              <a:schemeClr val="accent1"/>
            </a:solidFill>
            <a:ln>
              <a:noFill/>
            </a:ln>
            <a:effectLst/>
          </c:spPr>
          <c:invertIfNegative val="0"/>
          <c:cat>
            <c:strRef>
              <c:f>'31-Demand'!$D$3:$F$3</c:f>
              <c:strCache>
                <c:ptCount val="3"/>
                <c:pt idx="0">
                  <c:v>Min. day</c:v>
                </c:pt>
                <c:pt idx="1">
                  <c:v>Avg. day</c:v>
                </c:pt>
                <c:pt idx="2">
                  <c:v>Max. day (est.)</c:v>
                </c:pt>
              </c:strCache>
            </c:strRef>
          </c:cat>
          <c:val>
            <c:numRef>
              <c:f>'31-Demand'!$D$4:$F$4</c:f>
              <c:numCache>
                <c:formatCode>#,##0</c:formatCode>
                <c:ptCount val="3"/>
                <c:pt idx="1">
                  <c:v>7848127</c:v>
                </c:pt>
              </c:numCache>
            </c:numRef>
          </c:val>
          <c:extLst>
            <c:ext xmlns:c16="http://schemas.microsoft.com/office/drawing/2014/chart" uri="{C3380CC4-5D6E-409C-BE32-E72D297353CC}">
              <c16:uniqueId val="{00000000-F3F3-4C80-BA39-BE7D5F84CB91}"/>
            </c:ext>
          </c:extLst>
        </c:ser>
        <c:ser>
          <c:idx val="1"/>
          <c:order val="1"/>
          <c:tx>
            <c:strRef>
              <c:f>'31-Demand'!$C$5</c:f>
              <c:strCache>
                <c:ptCount val="1"/>
                <c:pt idx="0">
                  <c:v>Commercial</c:v>
                </c:pt>
              </c:strCache>
            </c:strRef>
          </c:tx>
          <c:spPr>
            <a:solidFill>
              <a:schemeClr val="accent2"/>
            </a:solidFill>
            <a:ln>
              <a:noFill/>
            </a:ln>
            <a:effectLst/>
          </c:spPr>
          <c:invertIfNegative val="0"/>
          <c:cat>
            <c:strRef>
              <c:f>'31-Demand'!$D$3:$F$3</c:f>
              <c:strCache>
                <c:ptCount val="3"/>
                <c:pt idx="0">
                  <c:v>Min. day</c:v>
                </c:pt>
                <c:pt idx="1">
                  <c:v>Avg. day</c:v>
                </c:pt>
                <c:pt idx="2">
                  <c:v>Max. day (est.)</c:v>
                </c:pt>
              </c:strCache>
            </c:strRef>
          </c:cat>
          <c:val>
            <c:numRef>
              <c:f>'31-Demand'!$D$5:$F$5</c:f>
              <c:numCache>
                <c:formatCode>#,##0</c:formatCode>
                <c:ptCount val="3"/>
                <c:pt idx="1">
                  <c:v>4521070</c:v>
                </c:pt>
              </c:numCache>
            </c:numRef>
          </c:val>
          <c:extLst>
            <c:ext xmlns:c16="http://schemas.microsoft.com/office/drawing/2014/chart" uri="{C3380CC4-5D6E-409C-BE32-E72D297353CC}">
              <c16:uniqueId val="{00000001-F3F3-4C80-BA39-BE7D5F84CB91}"/>
            </c:ext>
          </c:extLst>
        </c:ser>
        <c:ser>
          <c:idx val="2"/>
          <c:order val="2"/>
          <c:tx>
            <c:strRef>
              <c:f>'31-Demand'!$C$6</c:f>
              <c:strCache>
                <c:ptCount val="1"/>
                <c:pt idx="0">
                  <c:v>Industrial</c:v>
                </c:pt>
              </c:strCache>
            </c:strRef>
          </c:tx>
          <c:spPr>
            <a:solidFill>
              <a:schemeClr val="accent3"/>
            </a:solidFill>
            <a:ln>
              <a:noFill/>
            </a:ln>
            <a:effectLst/>
          </c:spPr>
          <c:invertIfNegative val="0"/>
          <c:cat>
            <c:strRef>
              <c:f>'31-Demand'!$D$3:$F$3</c:f>
              <c:strCache>
                <c:ptCount val="3"/>
                <c:pt idx="0">
                  <c:v>Min. day</c:v>
                </c:pt>
                <c:pt idx="1">
                  <c:v>Avg. day</c:v>
                </c:pt>
                <c:pt idx="2">
                  <c:v>Max. day (est.)</c:v>
                </c:pt>
              </c:strCache>
            </c:strRef>
          </c:cat>
          <c:val>
            <c:numRef>
              <c:f>'31-Demand'!$D$6:$F$6</c:f>
              <c:numCache>
                <c:formatCode>#,##0</c:formatCode>
                <c:ptCount val="3"/>
                <c:pt idx="1">
                  <c:v>2595343</c:v>
                </c:pt>
              </c:numCache>
            </c:numRef>
          </c:val>
          <c:extLst>
            <c:ext xmlns:c16="http://schemas.microsoft.com/office/drawing/2014/chart" uri="{C3380CC4-5D6E-409C-BE32-E72D297353CC}">
              <c16:uniqueId val="{00000002-F3F3-4C80-BA39-BE7D5F84CB91}"/>
            </c:ext>
          </c:extLst>
        </c:ser>
        <c:ser>
          <c:idx val="3"/>
          <c:order val="3"/>
          <c:tx>
            <c:strRef>
              <c:f>'31-Demand'!$C$7</c:f>
              <c:strCache>
                <c:ptCount val="1"/>
                <c:pt idx="0">
                  <c:v>Wholesale</c:v>
                </c:pt>
              </c:strCache>
            </c:strRef>
          </c:tx>
          <c:spPr>
            <a:solidFill>
              <a:schemeClr val="accent4"/>
            </a:solidFill>
            <a:ln>
              <a:noFill/>
            </a:ln>
            <a:effectLst/>
          </c:spPr>
          <c:invertIfNegative val="0"/>
          <c:cat>
            <c:strRef>
              <c:f>'31-Demand'!$D$3:$F$3</c:f>
              <c:strCache>
                <c:ptCount val="3"/>
                <c:pt idx="0">
                  <c:v>Min. day</c:v>
                </c:pt>
                <c:pt idx="1">
                  <c:v>Avg. day</c:v>
                </c:pt>
                <c:pt idx="2">
                  <c:v>Max. day (est.)</c:v>
                </c:pt>
              </c:strCache>
            </c:strRef>
          </c:cat>
          <c:val>
            <c:numRef>
              <c:f>'31-Demand'!$D$7:$F$7</c:f>
              <c:numCache>
                <c:formatCode>#,##0</c:formatCode>
                <c:ptCount val="3"/>
                <c:pt idx="1">
                  <c:v>570666</c:v>
                </c:pt>
              </c:numCache>
            </c:numRef>
          </c:val>
          <c:extLst>
            <c:ext xmlns:c16="http://schemas.microsoft.com/office/drawing/2014/chart" uri="{C3380CC4-5D6E-409C-BE32-E72D297353CC}">
              <c16:uniqueId val="{00000003-F3F3-4C80-BA39-BE7D5F84CB91}"/>
            </c:ext>
          </c:extLst>
        </c:ser>
        <c:ser>
          <c:idx val="4"/>
          <c:order val="4"/>
          <c:tx>
            <c:strRef>
              <c:f>'31-Demand'!$C$8</c:f>
              <c:strCache>
                <c:ptCount val="1"/>
                <c:pt idx="0">
                  <c:v>Unmetered other</c:v>
                </c:pt>
              </c:strCache>
            </c:strRef>
          </c:tx>
          <c:spPr>
            <a:solidFill>
              <a:schemeClr val="accent5"/>
            </a:solidFill>
            <a:ln>
              <a:noFill/>
            </a:ln>
            <a:effectLst/>
          </c:spPr>
          <c:invertIfNegative val="0"/>
          <c:cat>
            <c:strRef>
              <c:f>'31-Demand'!$D$3:$F$3</c:f>
              <c:strCache>
                <c:ptCount val="3"/>
                <c:pt idx="0">
                  <c:v>Min. day</c:v>
                </c:pt>
                <c:pt idx="1">
                  <c:v>Avg. day</c:v>
                </c:pt>
                <c:pt idx="2">
                  <c:v>Max. day (est.)</c:v>
                </c:pt>
              </c:strCache>
            </c:strRef>
          </c:cat>
          <c:val>
            <c:numRef>
              <c:f>'31-Demand'!$D$8:$F$8</c:f>
              <c:numCache>
                <c:formatCode>#,##0</c:formatCode>
                <c:ptCount val="3"/>
                <c:pt idx="1">
                  <c:v>438375</c:v>
                </c:pt>
              </c:numCache>
            </c:numRef>
          </c:val>
          <c:extLst>
            <c:ext xmlns:c16="http://schemas.microsoft.com/office/drawing/2014/chart" uri="{C3380CC4-5D6E-409C-BE32-E72D297353CC}">
              <c16:uniqueId val="{00000004-F3F3-4C80-BA39-BE7D5F84CB91}"/>
            </c:ext>
          </c:extLst>
        </c:ser>
        <c:ser>
          <c:idx val="5"/>
          <c:order val="5"/>
          <c:tx>
            <c:strRef>
              <c:f>'31-Demand'!$C$9</c:f>
              <c:strCache>
                <c:ptCount val="1"/>
                <c:pt idx="0">
                  <c:v>Losses</c:v>
                </c:pt>
              </c:strCache>
            </c:strRef>
          </c:tx>
          <c:spPr>
            <a:solidFill>
              <a:schemeClr val="accent6"/>
            </a:solidFill>
            <a:ln>
              <a:noFill/>
            </a:ln>
            <a:effectLst/>
          </c:spPr>
          <c:invertIfNegative val="0"/>
          <c:cat>
            <c:strRef>
              <c:f>'31-Demand'!$D$3:$F$3</c:f>
              <c:strCache>
                <c:ptCount val="3"/>
                <c:pt idx="0">
                  <c:v>Min. day</c:v>
                </c:pt>
                <c:pt idx="1">
                  <c:v>Avg. day</c:v>
                </c:pt>
                <c:pt idx="2">
                  <c:v>Max. day (est.)</c:v>
                </c:pt>
              </c:strCache>
            </c:strRef>
          </c:cat>
          <c:val>
            <c:numRef>
              <c:f>'31-Demand'!$D$9:$F$9</c:f>
              <c:numCache>
                <c:formatCode>#,##0</c:formatCode>
                <c:ptCount val="3"/>
                <c:pt idx="1">
                  <c:v>3326706</c:v>
                </c:pt>
              </c:numCache>
            </c:numRef>
          </c:val>
          <c:extLst>
            <c:ext xmlns:c16="http://schemas.microsoft.com/office/drawing/2014/chart" uri="{C3380CC4-5D6E-409C-BE32-E72D297353CC}">
              <c16:uniqueId val="{00000005-F3F3-4C80-BA39-BE7D5F84CB91}"/>
            </c:ext>
          </c:extLst>
        </c:ser>
        <c:ser>
          <c:idx val="6"/>
          <c:order val="6"/>
          <c:tx>
            <c:strRef>
              <c:f>'31-Demand'!$C$10</c:f>
              <c:strCache>
                <c:ptCount val="1"/>
                <c:pt idx="0">
                  <c:v>Total reported </c:v>
                </c:pt>
              </c:strCache>
            </c:strRef>
          </c:tx>
          <c:spPr>
            <a:solidFill>
              <a:schemeClr val="accent1">
                <a:lumMod val="60000"/>
              </a:schemeClr>
            </a:solidFill>
            <a:ln>
              <a:noFill/>
            </a:ln>
            <a:effectLst/>
          </c:spPr>
          <c:invertIfNegative val="0"/>
          <c:cat>
            <c:strRef>
              <c:f>'31-Demand'!$D$3:$F$3</c:f>
              <c:strCache>
                <c:ptCount val="3"/>
                <c:pt idx="0">
                  <c:v>Min. day</c:v>
                </c:pt>
                <c:pt idx="1">
                  <c:v>Avg. day</c:v>
                </c:pt>
                <c:pt idx="2">
                  <c:v>Max. day (est.)</c:v>
                </c:pt>
              </c:strCache>
            </c:strRef>
          </c:cat>
          <c:val>
            <c:numRef>
              <c:f>'31-Demand'!$D$10:$F$10</c:f>
              <c:numCache>
                <c:formatCode>#,##0</c:formatCode>
                <c:ptCount val="3"/>
                <c:pt idx="0">
                  <c:v>16700000</c:v>
                </c:pt>
                <c:pt idx="2">
                  <c:v>24000000</c:v>
                </c:pt>
              </c:numCache>
            </c:numRef>
          </c:val>
          <c:extLst>
            <c:ext xmlns:c16="http://schemas.microsoft.com/office/drawing/2014/chart" uri="{C3380CC4-5D6E-409C-BE32-E72D297353CC}">
              <c16:uniqueId val="{00000006-F3F3-4C80-BA39-BE7D5F84CB91}"/>
            </c:ext>
          </c:extLst>
        </c:ser>
        <c:dLbls>
          <c:showLegendKey val="0"/>
          <c:showVal val="0"/>
          <c:showCatName val="0"/>
          <c:showSerName val="0"/>
          <c:showPercent val="0"/>
          <c:showBubbleSize val="0"/>
        </c:dLbls>
        <c:gapWidth val="150"/>
        <c:overlap val="100"/>
        <c:axId val="1700224264"/>
        <c:axId val="1700215112"/>
      </c:barChart>
      <c:catAx>
        <c:axId val="1700224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0215112"/>
        <c:crosses val="autoZero"/>
        <c:auto val="1"/>
        <c:lblAlgn val="ctr"/>
        <c:lblOffset val="100"/>
        <c:noMultiLvlLbl val="0"/>
      </c:catAx>
      <c:valAx>
        <c:axId val="1700215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0224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Helvetica" pitchFamily="2" charset="0"/>
                <a:ea typeface="+mn-ea"/>
                <a:cs typeface="+mn-cs"/>
              </a:defRPr>
            </a:pPr>
            <a:r>
              <a:rPr lang="en-US"/>
              <a:t>Positions of the parties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Helvetica" pitchFamily="2" charset="0"/>
              <a:ea typeface="+mn-ea"/>
              <a:cs typeface="+mn-cs"/>
            </a:defRPr>
          </a:pPr>
          <a:endParaRPr lang="en-US"/>
        </a:p>
      </c:txPr>
    </c:title>
    <c:autoTitleDeleted val="0"/>
    <c:plotArea>
      <c:layout/>
      <c:barChart>
        <c:barDir val="col"/>
        <c:grouping val="clustered"/>
        <c:varyColors val="0"/>
        <c:ser>
          <c:idx val="4"/>
          <c:order val="0"/>
          <c:tx>
            <c:strRef>
              <c:f>'35-Rev increase'!$D$3</c:f>
              <c:strCache>
                <c:ptCount val="1"/>
                <c:pt idx="0">
                  <c:v>Company &amp; OSBA</c:v>
                </c:pt>
              </c:strCache>
            </c:strRef>
          </c:tx>
          <c:spPr>
            <a:solidFill>
              <a:schemeClr val="accent3">
                <a:lumMod val="75000"/>
                <a:alpha val="70000"/>
              </a:schemeClr>
            </a:solidFill>
            <a:ln>
              <a:noFill/>
            </a:ln>
            <a:effectLst/>
          </c:spPr>
          <c:invertIfNegative val="0"/>
          <c:cat>
            <c:strRef>
              <c:f>'35-Rev increase'!$C$5:$C$9</c:f>
              <c:strCache>
                <c:ptCount val="5"/>
                <c:pt idx="0">
                  <c:v>Residential</c:v>
                </c:pt>
                <c:pt idx="1">
                  <c:v>Commercial</c:v>
                </c:pt>
                <c:pt idx="2">
                  <c:v>Industrial</c:v>
                </c:pt>
                <c:pt idx="3">
                  <c:v>Private Fire</c:v>
                </c:pt>
                <c:pt idx="4">
                  <c:v>Public Fire</c:v>
                </c:pt>
              </c:strCache>
            </c:strRef>
          </c:cat>
          <c:val>
            <c:numRef>
              <c:f>'35-Rev increase'!$D$5:$D$9</c:f>
              <c:numCache>
                <c:formatCode>"$"#,##0_);[Red]\("$"#,##0\)</c:formatCode>
                <c:ptCount val="5"/>
                <c:pt idx="0">
                  <c:v>2290688</c:v>
                </c:pt>
                <c:pt idx="1">
                  <c:v>655990</c:v>
                </c:pt>
                <c:pt idx="2">
                  <c:v>326763</c:v>
                </c:pt>
                <c:pt idx="3">
                  <c:v>81033</c:v>
                </c:pt>
                <c:pt idx="4">
                  <c:v>3492</c:v>
                </c:pt>
              </c:numCache>
            </c:numRef>
          </c:val>
          <c:extLst>
            <c:ext xmlns:c16="http://schemas.microsoft.com/office/drawing/2014/chart" uri="{C3380CC4-5D6E-409C-BE32-E72D297353CC}">
              <c16:uniqueId val="{00000004-D22D-6440-82F0-1A1BB1E99E3A}"/>
            </c:ext>
          </c:extLst>
        </c:ser>
        <c:ser>
          <c:idx val="0"/>
          <c:order val="1"/>
          <c:tx>
            <c:strRef>
              <c:f>'35-Rev increase'!$E$3</c:f>
              <c:strCache>
                <c:ptCount val="1"/>
                <c:pt idx="0">
                  <c:v>OCA</c:v>
                </c:pt>
              </c:strCache>
            </c:strRef>
          </c:tx>
          <c:spPr>
            <a:solidFill>
              <a:schemeClr val="accent1">
                <a:lumMod val="75000"/>
                <a:alpha val="70000"/>
              </a:schemeClr>
            </a:solidFill>
            <a:ln>
              <a:noFill/>
            </a:ln>
            <a:effectLst/>
          </c:spPr>
          <c:invertIfNegative val="0"/>
          <c:cat>
            <c:strRef>
              <c:f>'35-Rev increase'!$C$5:$C$9</c:f>
              <c:strCache>
                <c:ptCount val="5"/>
                <c:pt idx="0">
                  <c:v>Residential</c:v>
                </c:pt>
                <c:pt idx="1">
                  <c:v>Commercial</c:v>
                </c:pt>
                <c:pt idx="2">
                  <c:v>Industrial</c:v>
                </c:pt>
                <c:pt idx="3">
                  <c:v>Private Fire</c:v>
                </c:pt>
                <c:pt idx="4">
                  <c:v>Public Fire</c:v>
                </c:pt>
              </c:strCache>
            </c:strRef>
          </c:cat>
          <c:val>
            <c:numRef>
              <c:f>'35-Rev increase'!$E$5:$E$9</c:f>
              <c:numCache>
                <c:formatCode>"$"#,##0_);[Red]\("$"#,##0\)</c:formatCode>
                <c:ptCount val="5"/>
                <c:pt idx="0">
                  <c:v>1776643</c:v>
                </c:pt>
                <c:pt idx="1">
                  <c:v>950648</c:v>
                </c:pt>
                <c:pt idx="2">
                  <c:v>441212</c:v>
                </c:pt>
                <c:pt idx="3">
                  <c:v>139803</c:v>
                </c:pt>
                <c:pt idx="4">
                  <c:v>49660</c:v>
                </c:pt>
              </c:numCache>
            </c:numRef>
          </c:val>
          <c:extLst>
            <c:ext xmlns:c16="http://schemas.microsoft.com/office/drawing/2014/chart" uri="{C3380CC4-5D6E-409C-BE32-E72D297353CC}">
              <c16:uniqueId val="{00000006-D22D-6440-82F0-1A1BB1E99E3A}"/>
            </c:ext>
          </c:extLst>
        </c:ser>
        <c:ser>
          <c:idx val="2"/>
          <c:order val="2"/>
          <c:tx>
            <c:strRef>
              <c:f>'35-Rev increase'!$G$3</c:f>
              <c:strCache>
                <c:ptCount val="1"/>
                <c:pt idx="0">
                  <c:v>Settlement</c:v>
                </c:pt>
              </c:strCache>
            </c:strRef>
          </c:tx>
          <c:spPr>
            <a:solidFill>
              <a:schemeClr val="accent4">
                <a:lumMod val="75000"/>
                <a:alpha val="70000"/>
              </a:schemeClr>
            </a:solidFill>
            <a:ln>
              <a:noFill/>
            </a:ln>
            <a:effectLst/>
          </c:spPr>
          <c:invertIfNegative val="0"/>
          <c:cat>
            <c:strRef>
              <c:f>'35-Rev increase'!$C$5:$C$9</c:f>
              <c:strCache>
                <c:ptCount val="5"/>
                <c:pt idx="0">
                  <c:v>Residential</c:v>
                </c:pt>
                <c:pt idx="1">
                  <c:v>Commercial</c:v>
                </c:pt>
                <c:pt idx="2">
                  <c:v>Industrial</c:v>
                </c:pt>
                <c:pt idx="3">
                  <c:v>Private Fire</c:v>
                </c:pt>
                <c:pt idx="4">
                  <c:v>Public Fire</c:v>
                </c:pt>
              </c:strCache>
            </c:strRef>
          </c:cat>
          <c:val>
            <c:numRef>
              <c:f>'35-Rev increase'!$G$5:$G$9</c:f>
              <c:numCache>
                <c:formatCode>"$"#,##0_);[Red]\("$"#,##0\)</c:formatCode>
                <c:ptCount val="5"/>
                <c:pt idx="0">
                  <c:v>2204243</c:v>
                </c:pt>
                <c:pt idx="1">
                  <c:v>690909</c:v>
                </c:pt>
                <c:pt idx="2">
                  <c:v>357518</c:v>
                </c:pt>
                <c:pt idx="3">
                  <c:v>101804</c:v>
                </c:pt>
                <c:pt idx="4">
                  <c:v>3492</c:v>
                </c:pt>
              </c:numCache>
            </c:numRef>
          </c:val>
          <c:extLst>
            <c:ext xmlns:c16="http://schemas.microsoft.com/office/drawing/2014/chart" uri="{C3380CC4-5D6E-409C-BE32-E72D297353CC}">
              <c16:uniqueId val="{00000009-D22D-6440-82F0-1A1BB1E99E3A}"/>
            </c:ext>
          </c:extLst>
        </c:ser>
        <c:dLbls>
          <c:showLegendKey val="0"/>
          <c:showVal val="0"/>
          <c:showCatName val="0"/>
          <c:showSerName val="0"/>
          <c:showPercent val="0"/>
          <c:showBubbleSize val="0"/>
        </c:dLbls>
        <c:gapWidth val="219"/>
        <c:overlap val="-27"/>
        <c:axId val="1470223728"/>
        <c:axId val="1470224848"/>
      </c:barChart>
      <c:catAx>
        <c:axId val="147022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Helvetica" pitchFamily="2" charset="0"/>
                <a:ea typeface="+mn-ea"/>
                <a:cs typeface="+mn-cs"/>
              </a:defRPr>
            </a:pPr>
            <a:endParaRPr lang="en-US"/>
          </a:p>
        </c:txPr>
        <c:crossAx val="1470224848"/>
        <c:crosses val="autoZero"/>
        <c:auto val="1"/>
        <c:lblAlgn val="ctr"/>
        <c:lblOffset val="100"/>
        <c:noMultiLvlLbl val="0"/>
      </c:catAx>
      <c:valAx>
        <c:axId val="14702248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Helvetica" pitchFamily="2" charset="0"/>
                <a:ea typeface="+mn-ea"/>
                <a:cs typeface="+mn-cs"/>
              </a:defRPr>
            </a:pPr>
            <a:endParaRPr lang="en-US"/>
          </a:p>
        </c:txPr>
        <c:crossAx val="14702237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Helvetica" pitchFamily="2" charset="0"/>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Helvetica"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Helvetica"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'38-PA rates'!$D$3</c:f>
              <c:strCache>
                <c:ptCount val="1"/>
                <c:pt idx="0">
                  <c:v>3000 gal.</c:v>
                </c:pt>
              </c:strCache>
            </c:strRef>
          </c:tx>
          <c:spPr>
            <a:solidFill>
              <a:schemeClr val="accent1"/>
            </a:solidFill>
            <a:ln>
              <a:noFill/>
            </a:ln>
            <a:effectLst/>
          </c:spPr>
          <c:invertIfNegative val="0"/>
          <c:cat>
            <c:strRef>
              <c:f>'38-PA rates'!$C$4:$C$49</c:f>
              <c:strCache>
                <c:ptCount val="46"/>
                <c:pt idx="0">
                  <c:v>Township of Falls</c:v>
                </c:pt>
                <c:pt idx="1">
                  <c:v>Borough of Chambersburg</c:v>
                </c:pt>
                <c:pt idx="2">
                  <c:v>Aldick Associates</c:v>
                </c:pt>
                <c:pt idx="3">
                  <c:v>Appalachian Utilities, Inc.</c:v>
                </c:pt>
                <c:pt idx="4">
                  <c:v>Borough of Ambler</c:v>
                </c:pt>
                <c:pt idx="5">
                  <c:v>United Water Bethel</c:v>
                </c:pt>
                <c:pt idx="6">
                  <c:v>Quentin Water Co.</c:v>
                </c:pt>
                <c:pt idx="7">
                  <c:v>Hanover Municipal Water Works</c:v>
                </c:pt>
                <c:pt idx="8">
                  <c:v>Bethlehem, City of</c:v>
                </c:pt>
                <c:pt idx="9">
                  <c:v>Clarendon Water Co.</c:v>
                </c:pt>
                <c:pt idx="10">
                  <c:v>Newtow Newtown Artesian Area</c:v>
                </c:pt>
                <c:pt idx="11">
                  <c:v>Columbia Water Co. Marietta Div.</c:v>
                </c:pt>
                <c:pt idx="12">
                  <c:v>Newtown Indian Rock Area </c:v>
                </c:pt>
                <c:pt idx="13">
                  <c:v>*PAWC Zone 3</c:v>
                </c:pt>
                <c:pt idx="14">
                  <c:v>Sugarcreek Water Co.</c:v>
                </c:pt>
                <c:pt idx="15">
                  <c:v>*PAWC Zone 40</c:v>
                </c:pt>
                <c:pt idx="16">
                  <c:v>YORK WATER CO. (gravity)</c:v>
                </c:pt>
                <c:pt idx="17">
                  <c:v>Utilities, Inc. Westgate</c:v>
                </c:pt>
                <c:pt idx="18">
                  <c:v>York Water Co. (gravity 2019)</c:v>
                </c:pt>
                <c:pt idx="19">
                  <c:v>Valley Run Water Co.</c:v>
                </c:pt>
                <c:pt idx="20">
                  <c:v>Houston Run Comm. Water System</c:v>
                </c:pt>
                <c:pt idx="21">
                  <c:v>Robin Hood Lakes Water Co.</c:v>
                </c:pt>
                <c:pt idx="22">
                  <c:v>*PAWC Zone 47</c:v>
                </c:pt>
                <c:pt idx="23">
                  <c:v>West Hickory Water Co.</c:v>
                </c:pt>
                <c:pt idx="24">
                  <c:v>Cooperstown Water Co.</c:v>
                </c:pt>
                <c:pt idx="25">
                  <c:v>*PAWC Zone 46</c:v>
                </c:pt>
                <c:pt idx="26">
                  <c:v>*PAWC Zone 41</c:v>
                </c:pt>
                <c:pt idx="27">
                  <c:v>Olwen Heights Water Service Co.</c:v>
                </c:pt>
                <c:pt idx="28">
                  <c:v>Columbia Water Co.</c:v>
                </c:pt>
                <c:pt idx="29">
                  <c:v>Venango Water Co.</c:v>
                </c:pt>
                <c:pt idx="30">
                  <c:v>*Aqua PA Clarendon Water Div.</c:v>
                </c:pt>
                <c:pt idx="31">
                  <c:v>*Aqua PA Honesdale Div.</c:v>
                </c:pt>
                <c:pt idx="32">
                  <c:v>*Aqua PA Kratzerville Div.</c:v>
                </c:pt>
                <c:pt idx="33">
                  <c:v>*PAWC Zone 44</c:v>
                </c:pt>
                <c:pt idx="34">
                  <c:v>*Aqua PA Bensalem Div.</c:v>
                </c:pt>
                <c:pt idx="35">
                  <c:v>*PAWC Zone 2 except Nittany</c:v>
                </c:pt>
                <c:pt idx="36">
                  <c:v>*Aqua PA Main Div.</c:v>
                </c:pt>
                <c:pt idx="37">
                  <c:v>Superior Water Co.</c:v>
                </c:pt>
                <c:pt idx="38">
                  <c:v>Superior Water Co.</c:v>
                </c:pt>
                <c:pt idx="39">
                  <c:v>*PAWC Zone 1</c:v>
                </c:pt>
                <c:pt idx="40">
                  <c:v>TriValley Water Supply, Inc.</c:v>
                </c:pt>
                <c:pt idx="41">
                  <c:v>Emporium Water Co.</c:v>
                </c:pt>
                <c:pt idx="42">
                  <c:v>Twin Lakes Utilities</c:v>
                </c:pt>
                <c:pt idx="43">
                  <c:v>*PAWC Zone 1</c:v>
                </c:pt>
                <c:pt idx="44">
                  <c:v>Fryburg Water Co.</c:v>
                </c:pt>
                <c:pt idx="45">
                  <c:v>Plumer Water Co.</c:v>
                </c:pt>
              </c:strCache>
            </c:strRef>
          </c:cat>
          <c:val>
            <c:numRef>
              <c:f>'38-PA rates'!$D$4:$D$49</c:f>
              <c:numCache>
                <c:formatCode>"$"#,##0.00</c:formatCode>
                <c:ptCount val="46"/>
                <c:pt idx="0">
                  <c:v>6.81</c:v>
                </c:pt>
                <c:pt idx="1">
                  <c:v>8.9700000000000006</c:v>
                </c:pt>
                <c:pt idx="2">
                  <c:v>14.46</c:v>
                </c:pt>
                <c:pt idx="3">
                  <c:v>17.045000000000002</c:v>
                </c:pt>
                <c:pt idx="4">
                  <c:v>18.05</c:v>
                </c:pt>
                <c:pt idx="5">
                  <c:v>19.183333333333334</c:v>
                </c:pt>
                <c:pt idx="6">
                  <c:v>20.18</c:v>
                </c:pt>
                <c:pt idx="7">
                  <c:v>20.413333333333334</c:v>
                </c:pt>
                <c:pt idx="8">
                  <c:v>21.05</c:v>
                </c:pt>
                <c:pt idx="9">
                  <c:v>22.35</c:v>
                </c:pt>
                <c:pt idx="10">
                  <c:v>22.643333333333334</c:v>
                </c:pt>
                <c:pt idx="11">
                  <c:v>23.33</c:v>
                </c:pt>
                <c:pt idx="12">
                  <c:v>24.083333333333332</c:v>
                </c:pt>
                <c:pt idx="13">
                  <c:v>26.1</c:v>
                </c:pt>
                <c:pt idx="14">
                  <c:v>27.38</c:v>
                </c:pt>
                <c:pt idx="15">
                  <c:v>27.55</c:v>
                </c:pt>
                <c:pt idx="16">
                  <c:v>29.31</c:v>
                </c:pt>
                <c:pt idx="17">
                  <c:v>30.66</c:v>
                </c:pt>
                <c:pt idx="18">
                  <c:v>31.28</c:v>
                </c:pt>
                <c:pt idx="19">
                  <c:v>31.77</c:v>
                </c:pt>
                <c:pt idx="20">
                  <c:v>32.43</c:v>
                </c:pt>
                <c:pt idx="21">
                  <c:v>33.08</c:v>
                </c:pt>
                <c:pt idx="22">
                  <c:v>33.6</c:v>
                </c:pt>
                <c:pt idx="23">
                  <c:v>34.42</c:v>
                </c:pt>
                <c:pt idx="24">
                  <c:v>34.590000000000003</c:v>
                </c:pt>
                <c:pt idx="25">
                  <c:v>35.049999999999997</c:v>
                </c:pt>
                <c:pt idx="26">
                  <c:v>36.299999999999997</c:v>
                </c:pt>
                <c:pt idx="27">
                  <c:v>36.86</c:v>
                </c:pt>
                <c:pt idx="28">
                  <c:v>36.94</c:v>
                </c:pt>
                <c:pt idx="29">
                  <c:v>37.020000000000003</c:v>
                </c:pt>
                <c:pt idx="30">
                  <c:v>38.619999999999997</c:v>
                </c:pt>
                <c:pt idx="31">
                  <c:v>39.94</c:v>
                </c:pt>
                <c:pt idx="32">
                  <c:v>40</c:v>
                </c:pt>
                <c:pt idx="33">
                  <c:v>41.05</c:v>
                </c:pt>
                <c:pt idx="34">
                  <c:v>42.4</c:v>
                </c:pt>
                <c:pt idx="35">
                  <c:v>43.5</c:v>
                </c:pt>
                <c:pt idx="36">
                  <c:v>44.49</c:v>
                </c:pt>
                <c:pt idx="37">
                  <c:v>45.38</c:v>
                </c:pt>
                <c:pt idx="38">
                  <c:v>45.38</c:v>
                </c:pt>
                <c:pt idx="39">
                  <c:v>45.64</c:v>
                </c:pt>
                <c:pt idx="40">
                  <c:v>46.93</c:v>
                </c:pt>
                <c:pt idx="41">
                  <c:v>48.25333333333333</c:v>
                </c:pt>
                <c:pt idx="42">
                  <c:v>48.41</c:v>
                </c:pt>
                <c:pt idx="43">
                  <c:v>53.15</c:v>
                </c:pt>
                <c:pt idx="44">
                  <c:v>53.51</c:v>
                </c:pt>
                <c:pt idx="45">
                  <c:v>64.67</c:v>
                </c:pt>
              </c:numCache>
            </c:numRef>
          </c:val>
          <c:extLst>
            <c:ext xmlns:c16="http://schemas.microsoft.com/office/drawing/2014/chart" uri="{C3380CC4-5D6E-409C-BE32-E72D297353CC}">
              <c16:uniqueId val="{00000000-274E-4D25-8CA1-4EBE75515078}"/>
            </c:ext>
          </c:extLst>
        </c:ser>
        <c:ser>
          <c:idx val="1"/>
          <c:order val="1"/>
          <c:tx>
            <c:strRef>
              <c:f>'38-PA rates'!$E$3</c:f>
              <c:strCache>
                <c:ptCount val="1"/>
                <c:pt idx="0">
                  <c:v>6000 gal.</c:v>
                </c:pt>
              </c:strCache>
            </c:strRef>
          </c:tx>
          <c:spPr>
            <a:solidFill>
              <a:schemeClr val="accent2"/>
            </a:solidFill>
            <a:ln>
              <a:noFill/>
            </a:ln>
            <a:effectLst/>
          </c:spPr>
          <c:invertIfNegative val="0"/>
          <c:cat>
            <c:strRef>
              <c:f>'38-PA rates'!$C$4:$C$49</c:f>
              <c:strCache>
                <c:ptCount val="46"/>
                <c:pt idx="0">
                  <c:v>Township of Falls</c:v>
                </c:pt>
                <c:pt idx="1">
                  <c:v>Borough of Chambersburg</c:v>
                </c:pt>
                <c:pt idx="2">
                  <c:v>Aldick Associates</c:v>
                </c:pt>
                <c:pt idx="3">
                  <c:v>Appalachian Utilities, Inc.</c:v>
                </c:pt>
                <c:pt idx="4">
                  <c:v>Borough of Ambler</c:v>
                </c:pt>
                <c:pt idx="5">
                  <c:v>United Water Bethel</c:v>
                </c:pt>
                <c:pt idx="6">
                  <c:v>Quentin Water Co.</c:v>
                </c:pt>
                <c:pt idx="7">
                  <c:v>Hanover Municipal Water Works</c:v>
                </c:pt>
                <c:pt idx="8">
                  <c:v>Bethlehem, City of</c:v>
                </c:pt>
                <c:pt idx="9">
                  <c:v>Clarendon Water Co.</c:v>
                </c:pt>
                <c:pt idx="10">
                  <c:v>Newtow Newtown Artesian Area</c:v>
                </c:pt>
                <c:pt idx="11">
                  <c:v>Columbia Water Co. Marietta Div.</c:v>
                </c:pt>
                <c:pt idx="12">
                  <c:v>Newtown Indian Rock Area </c:v>
                </c:pt>
                <c:pt idx="13">
                  <c:v>*PAWC Zone 3</c:v>
                </c:pt>
                <c:pt idx="14">
                  <c:v>Sugarcreek Water Co.</c:v>
                </c:pt>
                <c:pt idx="15">
                  <c:v>*PAWC Zone 40</c:v>
                </c:pt>
                <c:pt idx="16">
                  <c:v>YORK WATER CO. (gravity)</c:v>
                </c:pt>
                <c:pt idx="17">
                  <c:v>Utilities, Inc. Westgate</c:v>
                </c:pt>
                <c:pt idx="18">
                  <c:v>York Water Co. (gravity 2019)</c:v>
                </c:pt>
                <c:pt idx="19">
                  <c:v>Valley Run Water Co.</c:v>
                </c:pt>
                <c:pt idx="20">
                  <c:v>Houston Run Comm. Water System</c:v>
                </c:pt>
                <c:pt idx="21">
                  <c:v>Robin Hood Lakes Water Co.</c:v>
                </c:pt>
                <c:pt idx="22">
                  <c:v>*PAWC Zone 47</c:v>
                </c:pt>
                <c:pt idx="23">
                  <c:v>West Hickory Water Co.</c:v>
                </c:pt>
                <c:pt idx="24">
                  <c:v>Cooperstown Water Co.</c:v>
                </c:pt>
                <c:pt idx="25">
                  <c:v>*PAWC Zone 46</c:v>
                </c:pt>
                <c:pt idx="26">
                  <c:v>*PAWC Zone 41</c:v>
                </c:pt>
                <c:pt idx="27">
                  <c:v>Olwen Heights Water Service Co.</c:v>
                </c:pt>
                <c:pt idx="28">
                  <c:v>Columbia Water Co.</c:v>
                </c:pt>
                <c:pt idx="29">
                  <c:v>Venango Water Co.</c:v>
                </c:pt>
                <c:pt idx="30">
                  <c:v>*Aqua PA Clarendon Water Div.</c:v>
                </c:pt>
                <c:pt idx="31">
                  <c:v>*Aqua PA Honesdale Div.</c:v>
                </c:pt>
                <c:pt idx="32">
                  <c:v>*Aqua PA Kratzerville Div.</c:v>
                </c:pt>
                <c:pt idx="33">
                  <c:v>*PAWC Zone 44</c:v>
                </c:pt>
                <c:pt idx="34">
                  <c:v>*Aqua PA Bensalem Div.</c:v>
                </c:pt>
                <c:pt idx="35">
                  <c:v>*PAWC Zone 2 except Nittany</c:v>
                </c:pt>
                <c:pt idx="36">
                  <c:v>*Aqua PA Main Div.</c:v>
                </c:pt>
                <c:pt idx="37">
                  <c:v>Superior Water Co.</c:v>
                </c:pt>
                <c:pt idx="38">
                  <c:v>Superior Water Co.</c:v>
                </c:pt>
                <c:pt idx="39">
                  <c:v>*PAWC Zone 1</c:v>
                </c:pt>
                <c:pt idx="40">
                  <c:v>TriValley Water Supply, Inc.</c:v>
                </c:pt>
                <c:pt idx="41">
                  <c:v>Emporium Water Co.</c:v>
                </c:pt>
                <c:pt idx="42">
                  <c:v>Twin Lakes Utilities</c:v>
                </c:pt>
                <c:pt idx="43">
                  <c:v>*PAWC Zone 1</c:v>
                </c:pt>
                <c:pt idx="44">
                  <c:v>Fryburg Water Co.</c:v>
                </c:pt>
                <c:pt idx="45">
                  <c:v>Plumer Water Co.</c:v>
                </c:pt>
              </c:strCache>
            </c:strRef>
          </c:cat>
          <c:val>
            <c:numRef>
              <c:f>'38-PA rates'!$E$4:$E$49</c:f>
              <c:numCache>
                <c:formatCode>"$"#,##0.00</c:formatCode>
                <c:ptCount val="46"/>
                <c:pt idx="0">
                  <c:v>13.62</c:v>
                </c:pt>
                <c:pt idx="1">
                  <c:v>12.98</c:v>
                </c:pt>
                <c:pt idx="2">
                  <c:v>25.92</c:v>
                </c:pt>
                <c:pt idx="3">
                  <c:v>28.445</c:v>
                </c:pt>
                <c:pt idx="4">
                  <c:v>31.91</c:v>
                </c:pt>
                <c:pt idx="5">
                  <c:v>32.053333333333335</c:v>
                </c:pt>
                <c:pt idx="6">
                  <c:v>36.5</c:v>
                </c:pt>
                <c:pt idx="7">
                  <c:v>31.973333333333333</c:v>
                </c:pt>
                <c:pt idx="8">
                  <c:v>25.31</c:v>
                </c:pt>
                <c:pt idx="9">
                  <c:v>32.700000000000003</c:v>
                </c:pt>
                <c:pt idx="10">
                  <c:v>38.823333333333331</c:v>
                </c:pt>
                <c:pt idx="11">
                  <c:v>34.25</c:v>
                </c:pt>
                <c:pt idx="12">
                  <c:v>41.703333333333333</c:v>
                </c:pt>
                <c:pt idx="13">
                  <c:v>35.700000000000003</c:v>
                </c:pt>
                <c:pt idx="14">
                  <c:v>39.71</c:v>
                </c:pt>
                <c:pt idx="15">
                  <c:v>43.6</c:v>
                </c:pt>
                <c:pt idx="16">
                  <c:v>42.61</c:v>
                </c:pt>
                <c:pt idx="17">
                  <c:v>44.49</c:v>
                </c:pt>
                <c:pt idx="18">
                  <c:v>46.31</c:v>
                </c:pt>
                <c:pt idx="19">
                  <c:v>51.54</c:v>
                </c:pt>
                <c:pt idx="20">
                  <c:v>52.85</c:v>
                </c:pt>
                <c:pt idx="21">
                  <c:v>57.76</c:v>
                </c:pt>
                <c:pt idx="22">
                  <c:v>52.2</c:v>
                </c:pt>
                <c:pt idx="23">
                  <c:v>49.06</c:v>
                </c:pt>
                <c:pt idx="24">
                  <c:v>51.63</c:v>
                </c:pt>
                <c:pt idx="25">
                  <c:v>56.35</c:v>
                </c:pt>
                <c:pt idx="26">
                  <c:v>57.6</c:v>
                </c:pt>
                <c:pt idx="27">
                  <c:v>59.48</c:v>
                </c:pt>
                <c:pt idx="28">
                  <c:v>56.35</c:v>
                </c:pt>
                <c:pt idx="29">
                  <c:v>54.38</c:v>
                </c:pt>
                <c:pt idx="30">
                  <c:v>63.25</c:v>
                </c:pt>
                <c:pt idx="31">
                  <c:v>63.88</c:v>
                </c:pt>
                <c:pt idx="32">
                  <c:v>64</c:v>
                </c:pt>
                <c:pt idx="33">
                  <c:v>68.36</c:v>
                </c:pt>
                <c:pt idx="34">
                  <c:v>68.8</c:v>
                </c:pt>
                <c:pt idx="35">
                  <c:v>70.5</c:v>
                </c:pt>
                <c:pt idx="36">
                  <c:v>75.55</c:v>
                </c:pt>
                <c:pt idx="37">
                  <c:v>73.97</c:v>
                </c:pt>
                <c:pt idx="38">
                  <c:v>73.97</c:v>
                </c:pt>
                <c:pt idx="39">
                  <c:v>76.28</c:v>
                </c:pt>
                <c:pt idx="40">
                  <c:v>80.86</c:v>
                </c:pt>
                <c:pt idx="41">
                  <c:v>84.51</c:v>
                </c:pt>
                <c:pt idx="42">
                  <c:v>66.319999999999993</c:v>
                </c:pt>
                <c:pt idx="43">
                  <c:v>89.8</c:v>
                </c:pt>
                <c:pt idx="44">
                  <c:v>87.05</c:v>
                </c:pt>
                <c:pt idx="45">
                  <c:v>106.34</c:v>
                </c:pt>
              </c:numCache>
            </c:numRef>
          </c:val>
          <c:extLst>
            <c:ext xmlns:c16="http://schemas.microsoft.com/office/drawing/2014/chart" uri="{C3380CC4-5D6E-409C-BE32-E72D297353CC}">
              <c16:uniqueId val="{00000001-274E-4D25-8CA1-4EBE75515078}"/>
            </c:ext>
          </c:extLst>
        </c:ser>
        <c:dLbls>
          <c:showLegendKey val="0"/>
          <c:showVal val="0"/>
          <c:showCatName val="0"/>
          <c:showSerName val="0"/>
          <c:showPercent val="0"/>
          <c:showBubbleSize val="0"/>
        </c:dLbls>
        <c:gapWidth val="219"/>
        <c:overlap val="-27"/>
        <c:axId val="295985624"/>
        <c:axId val="295983544"/>
      </c:barChart>
      <c:catAx>
        <c:axId val="295985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5983544"/>
        <c:crosses val="autoZero"/>
        <c:auto val="1"/>
        <c:lblAlgn val="ctr"/>
        <c:lblOffset val="100"/>
        <c:noMultiLvlLbl val="0"/>
      </c:catAx>
      <c:valAx>
        <c:axId val="29598354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5985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485775</xdr:colOff>
      <xdr:row>26</xdr:row>
      <xdr:rowOff>0</xdr:rowOff>
    </xdr:to>
    <xdr:pic>
      <xdr:nvPicPr>
        <xdr:cNvPr id="3" name="Picture 2">
          <a:extLst>
            <a:ext uri="{FF2B5EF4-FFF2-40B4-BE49-F238E27FC236}">
              <a16:creationId xmlns:a16="http://schemas.microsoft.com/office/drawing/2014/main" id="{9854BE42-F2FA-72B4-C553-0DB0F44DF9EC}"/>
            </a:ext>
          </a:extLst>
        </xdr:cNvPr>
        <xdr:cNvPicPr>
          <a:picLocks noChangeAspect="1"/>
        </xdr:cNvPicPr>
      </xdr:nvPicPr>
      <xdr:blipFill>
        <a:blip xmlns:r="http://schemas.openxmlformats.org/officeDocument/2006/relationships" r:embed="rId1"/>
        <a:stretch>
          <a:fillRect/>
        </a:stretch>
      </xdr:blipFill>
      <xdr:spPr>
        <a:xfrm>
          <a:off x="180975" y="600075"/>
          <a:ext cx="3533775"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447675</xdr:rowOff>
    </xdr:from>
    <xdr:to>
      <xdr:col>9</xdr:col>
      <xdr:colOff>228600</xdr:colOff>
      <xdr:row>42</xdr:row>
      <xdr:rowOff>123825</xdr:rowOff>
    </xdr:to>
    <xdr:pic>
      <xdr:nvPicPr>
        <xdr:cNvPr id="3" name="Picture 2">
          <a:extLst>
            <a:ext uri="{FF2B5EF4-FFF2-40B4-BE49-F238E27FC236}">
              <a16:creationId xmlns:a16="http://schemas.microsoft.com/office/drawing/2014/main" id="{6BB09A13-2794-9579-4F3D-9829626BE795}"/>
            </a:ext>
          </a:extLst>
        </xdr:cNvPr>
        <xdr:cNvPicPr>
          <a:picLocks noChangeAspect="1"/>
        </xdr:cNvPicPr>
      </xdr:nvPicPr>
      <xdr:blipFill>
        <a:blip xmlns:r="http://schemas.openxmlformats.org/officeDocument/2006/relationships" r:embed="rId1"/>
        <a:stretch>
          <a:fillRect/>
        </a:stretch>
      </xdr:blipFill>
      <xdr:spPr>
        <a:xfrm>
          <a:off x="180975" y="571500"/>
          <a:ext cx="6324600" cy="777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6</xdr:col>
      <xdr:colOff>228600</xdr:colOff>
      <xdr:row>69</xdr:row>
      <xdr:rowOff>152400</xdr:rowOff>
    </xdr:to>
    <xdr:pic>
      <xdr:nvPicPr>
        <xdr:cNvPr id="8" name="Picture 1">
          <a:extLst>
            <a:ext uri="{FF2B5EF4-FFF2-40B4-BE49-F238E27FC236}">
              <a16:creationId xmlns:a16="http://schemas.microsoft.com/office/drawing/2014/main" id="{FF0C333E-54C3-4605-A076-07E4CFBF4DC2}"/>
            </a:ext>
          </a:extLst>
        </xdr:cNvPr>
        <xdr:cNvPicPr>
          <a:picLocks noChangeAspect="1"/>
        </xdr:cNvPicPr>
      </xdr:nvPicPr>
      <xdr:blipFill>
        <a:blip xmlns:r="http://schemas.openxmlformats.org/officeDocument/2006/relationships" r:embed="rId1"/>
        <a:stretch>
          <a:fillRect/>
        </a:stretch>
      </xdr:blipFill>
      <xdr:spPr>
        <a:xfrm>
          <a:off x="180975" y="5229225"/>
          <a:ext cx="5067300" cy="7181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8</xdr:col>
      <xdr:colOff>139700</xdr:colOff>
      <xdr:row>48</xdr:row>
      <xdr:rowOff>97024</xdr:rowOff>
    </xdr:to>
    <xdr:pic>
      <xdr:nvPicPr>
        <xdr:cNvPr id="2" name="Picture 1">
          <a:extLst>
            <a:ext uri="{FF2B5EF4-FFF2-40B4-BE49-F238E27FC236}">
              <a16:creationId xmlns:a16="http://schemas.microsoft.com/office/drawing/2014/main" id="{8ECDA720-5381-466D-AFBB-B62F00F32EE1}"/>
            </a:ext>
          </a:extLst>
        </xdr:cNvPr>
        <xdr:cNvPicPr>
          <a:picLocks noChangeAspect="1"/>
        </xdr:cNvPicPr>
      </xdr:nvPicPr>
      <xdr:blipFill>
        <a:blip xmlns:r="http://schemas.openxmlformats.org/officeDocument/2006/relationships" r:embed="rId1"/>
        <a:stretch>
          <a:fillRect/>
        </a:stretch>
      </xdr:blipFill>
      <xdr:spPr>
        <a:xfrm>
          <a:off x="203200" y="6146800"/>
          <a:ext cx="5181600" cy="3335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6</xdr:col>
      <xdr:colOff>228600</xdr:colOff>
      <xdr:row>69</xdr:row>
      <xdr:rowOff>152400</xdr:rowOff>
    </xdr:to>
    <xdr:pic>
      <xdr:nvPicPr>
        <xdr:cNvPr id="2" name="Picture 1">
          <a:extLst>
            <a:ext uri="{FF2B5EF4-FFF2-40B4-BE49-F238E27FC236}">
              <a16:creationId xmlns:a16="http://schemas.microsoft.com/office/drawing/2014/main" id="{20FE5889-8930-4D32-AC32-50F4BC06799D}"/>
            </a:ext>
          </a:extLst>
        </xdr:cNvPr>
        <xdr:cNvPicPr>
          <a:picLocks noChangeAspect="1"/>
        </xdr:cNvPicPr>
      </xdr:nvPicPr>
      <xdr:blipFill>
        <a:blip xmlns:r="http://schemas.openxmlformats.org/officeDocument/2006/relationships" r:embed="rId1"/>
        <a:stretch>
          <a:fillRect/>
        </a:stretch>
      </xdr:blipFill>
      <xdr:spPr>
        <a:xfrm>
          <a:off x="180975" y="5057775"/>
          <a:ext cx="5248275" cy="7181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17</xdr:row>
      <xdr:rowOff>38100</xdr:rowOff>
    </xdr:from>
    <xdr:to>
      <xdr:col>12</xdr:col>
      <xdr:colOff>38099</xdr:colOff>
      <xdr:row>38</xdr:row>
      <xdr:rowOff>127000</xdr:rowOff>
    </xdr:to>
    <xdr:graphicFrame macro="">
      <xdr:nvGraphicFramePr>
        <xdr:cNvPr id="5" name="Chart 1">
          <a:extLst>
            <a:ext uri="{FF2B5EF4-FFF2-40B4-BE49-F238E27FC236}">
              <a16:creationId xmlns:a16="http://schemas.microsoft.com/office/drawing/2014/main" id="{893428A9-FC53-4402-854B-051A7B575D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152400</xdr:rowOff>
    </xdr:from>
    <xdr:to>
      <xdr:col>7</xdr:col>
      <xdr:colOff>0</xdr:colOff>
      <xdr:row>34</xdr:row>
      <xdr:rowOff>114300</xdr:rowOff>
    </xdr:to>
    <xdr:graphicFrame macro="">
      <xdr:nvGraphicFramePr>
        <xdr:cNvPr id="4" name="Chart 1">
          <a:extLst>
            <a:ext uri="{FF2B5EF4-FFF2-40B4-BE49-F238E27FC236}">
              <a16:creationId xmlns:a16="http://schemas.microsoft.com/office/drawing/2014/main" id="{5CE217FE-71E2-4AD9-A123-06ACBDC8E8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14</xdr:row>
      <xdr:rowOff>165100</xdr:rowOff>
    </xdr:from>
    <xdr:to>
      <xdr:col>8</xdr:col>
      <xdr:colOff>25400</xdr:colOff>
      <xdr:row>37</xdr:row>
      <xdr:rowOff>165100</xdr:rowOff>
    </xdr:to>
    <xdr:graphicFrame macro="">
      <xdr:nvGraphicFramePr>
        <xdr:cNvPr id="2" name="Chart 1">
          <a:extLst>
            <a:ext uri="{FF2B5EF4-FFF2-40B4-BE49-F238E27FC236}">
              <a16:creationId xmlns:a16="http://schemas.microsoft.com/office/drawing/2014/main" id="{94075900-1198-AF42-BBA5-8BF676DA2C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53</xdr:row>
      <xdr:rowOff>19050</xdr:rowOff>
    </xdr:from>
    <xdr:to>
      <xdr:col>8</xdr:col>
      <xdr:colOff>466725</xdr:colOff>
      <xdr:row>69</xdr:row>
      <xdr:rowOff>104775</xdr:rowOff>
    </xdr:to>
    <xdr:graphicFrame macro="">
      <xdr:nvGraphicFramePr>
        <xdr:cNvPr id="4" name="Chart 1">
          <a:extLst>
            <a:ext uri="{FF2B5EF4-FFF2-40B4-BE49-F238E27FC236}">
              <a16:creationId xmlns:a16="http://schemas.microsoft.com/office/drawing/2014/main" id="{F8614AAB-F706-49F5-A18C-37233CACA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chiganstate-my.sharepoint.com/C:/Users/danny/Downloads/DPK%20Case%20Template%20dpk%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A-1"/>
      <sheetName val="Avg Rate Base B-1"/>
      <sheetName val="YE Rate Base B-2"/>
      <sheetName val="CIAC B-3"/>
      <sheetName val="Working Cap IS B-4"/>
      <sheetName val="Working Cap inc B-5"/>
      <sheetName val="Inc. Stmt. C-1"/>
      <sheetName val="Rev Conv Factor C-4"/>
      <sheetName val="Income taxes C-5"/>
      <sheetName val="Captial D-1"/>
      <sheetName val="Sheet1"/>
      <sheetName val="Debt D-2"/>
      <sheetName val="Plant E-1"/>
      <sheetName val="Depr E-2 "/>
      <sheetName val="Bal Sht E-3"/>
    </sheetNames>
    <sheetDataSet>
      <sheetData sheetId="0"/>
      <sheetData sheetId="1"/>
      <sheetData sheetId="2"/>
      <sheetData sheetId="3" refreshError="1"/>
      <sheetData sheetId="4"/>
      <sheetData sheetId="5"/>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yorkwater.com/annual-reports" TargetMode="External"/><Relationship Id="rId1" Type="http://schemas.openxmlformats.org/officeDocument/2006/relationships/hyperlink" Target="https://www.sec.gov/cgi-bin/browse-edgar?company=york+water&amp;owner=exclude&amp;action=getcompany"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sec.gov/cgi-bin/browse-edgar?company=york+water&amp;owner=exclude&amp;action=getcompany"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3.bin"/><Relationship Id="rId1" Type="http://schemas.openxmlformats.org/officeDocument/2006/relationships/hyperlink" Target="http://www.puc.state.pa.us/filing_resources/quarterly_earnings_sum_rpt.aspx"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yorkwater.com/wp-content/uploads/FactSheetJanuary2021.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puc.pa.gov/pcdocs/1702598.pdf" TargetMode="External"/><Relationship Id="rId1" Type="http://schemas.openxmlformats.org/officeDocument/2006/relationships/hyperlink" Target="http://cedatareporting.pa.gov/Reportserver/Pages/ReportViewer.aspx?/Public/DEP/WUDS/SSRS/Water_Use_by_Water_Supplier"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puc.pa.gov/search/document-search?DocumentType=11717119" TargetMode="External"/><Relationship Id="rId1" Type="http://schemas.openxmlformats.org/officeDocument/2006/relationships/hyperlink" Target="https://www.yorkwater.com/sec-filings/"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sec.gov/cgi-bin/browse-edgar?company=york+water&amp;owner=exclude&amp;action=getcompan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6B53C-5E25-456E-8AD5-0E5E75D23CC6}">
  <sheetPr>
    <pageSetUpPr fitToPage="1"/>
  </sheetPr>
  <dimension ref="A1:B45"/>
  <sheetViews>
    <sheetView tabSelected="1" topLeftCell="A49" workbookViewId="0">
      <selection activeCell="A2" sqref="A2"/>
    </sheetView>
  </sheetViews>
  <sheetFormatPr defaultColWidth="8.85546875" defaultRowHeight="15" x14ac:dyDescent="0.25"/>
  <cols>
    <col min="1" max="1" width="2.7109375" style="5" customWidth="1"/>
    <col min="2" max="2" width="64" customWidth="1"/>
    <col min="3" max="3" width="40.140625" customWidth="1"/>
  </cols>
  <sheetData>
    <row r="1" spans="1:2" s="9" customFormat="1" ht="9.75" customHeight="1" x14ac:dyDescent="0.25">
      <c r="B1" s="80"/>
    </row>
    <row r="2" spans="1:2" s="9" customFormat="1" ht="37.5" customHeight="1" x14ac:dyDescent="0.25">
      <c r="B2" s="37" t="s">
        <v>0</v>
      </c>
    </row>
    <row r="3" spans="1:2" s="13" customFormat="1" ht="18.75" customHeight="1" x14ac:dyDescent="0.2">
      <c r="A3" s="1"/>
      <c r="B3" s="13" t="s">
        <v>1</v>
      </c>
    </row>
    <row r="4" spans="1:2" s="13" customFormat="1" ht="18.75" customHeight="1" x14ac:dyDescent="0.2">
      <c r="A4" s="1"/>
      <c r="B4" s="13" t="str">
        <f>'2-Cover'!B2</f>
        <v>2-York Water annual report cover</v>
      </c>
    </row>
    <row r="5" spans="1:2" s="13" customFormat="1" ht="18.75" customHeight="1" x14ac:dyDescent="0.2">
      <c r="A5" s="1"/>
      <c r="B5" s="13" t="str">
        <f>'3-York'!B2</f>
        <v>3-York Water fact sheet</v>
      </c>
    </row>
    <row r="6" spans="1:2" s="13" customFormat="1" ht="18.75" customHeight="1" x14ac:dyDescent="0.2">
      <c r="A6" s="1"/>
      <c r="B6" s="13" t="str">
        <f>'4-Trends'!B2</f>
        <v>4-Summary of operations and trend data (consolidated in thousands)</v>
      </c>
    </row>
    <row r="7" spans="1:2" s="13" customFormat="1" ht="18.75" customHeight="1" x14ac:dyDescent="0.2">
      <c r="A7" s="1"/>
      <c r="B7" s="13" t="str">
        <f>'5-Plant'!B2</f>
        <v>5-Utility plant by function</v>
      </c>
    </row>
    <row r="8" spans="1:2" s="13" customFormat="1" ht="18.75" customHeight="1" x14ac:dyDescent="0.2">
      <c r="A8" s="1"/>
      <c r="B8" s="13" t="str">
        <f>'6-Deprec'!B2</f>
        <v>6-Accumulated depreciation</v>
      </c>
    </row>
    <row r="9" spans="1:2" s="13" customFormat="1" ht="18.75" customHeight="1" x14ac:dyDescent="0.2">
      <c r="A9" s="1"/>
      <c r="B9" s="13" t="str">
        <f>'7-Plant life'!B2</f>
        <v>7-Utility plant service lives</v>
      </c>
    </row>
    <row r="10" spans="1:2" s="13" customFormat="1" ht="18.75" customHeight="1" x14ac:dyDescent="0.2">
      <c r="A10" s="1"/>
      <c r="B10" s="13" t="str">
        <f>'8-CWIP'!B2</f>
        <v>8-Construction work in progress (CWIP)</v>
      </c>
    </row>
    <row r="11" spans="1:2" s="13" customFormat="1" ht="18.75" customHeight="1" x14ac:dyDescent="0.2">
      <c r="A11" s="1"/>
      <c r="B11" s="13" t="str">
        <f>'9-Assets'!B2</f>
        <v>9-Balance sheet assets</v>
      </c>
    </row>
    <row r="12" spans="1:2" s="13" customFormat="1" ht="18.75" customHeight="1" x14ac:dyDescent="0.2">
      <c r="A12" s="1"/>
      <c r="B12" s="13" t="str">
        <f>'10-Liabilities'!B2</f>
        <v>10-Balance sheet liabilities</v>
      </c>
    </row>
    <row r="13" spans="1:2" s="13" customFormat="1" ht="18.75" customHeight="1" x14ac:dyDescent="0.2">
      <c r="A13" s="1"/>
      <c r="B13" s="13" t="str">
        <f>'11-Earnings'!B2</f>
        <v>11-Retained earnings and dividends</v>
      </c>
    </row>
    <row r="14" spans="1:2" s="13" customFormat="1" ht="18.75" customHeight="1" x14ac:dyDescent="0.2">
      <c r="A14" s="1"/>
      <c r="B14" s="593" t="str">
        <f>'12-Debt'!B2</f>
        <v>12-Long-term debt</v>
      </c>
    </row>
    <row r="15" spans="1:2" s="13" customFormat="1" ht="18.75" customHeight="1" x14ac:dyDescent="0.2">
      <c r="A15" s="1"/>
      <c r="B15" s="13" t="str">
        <f>'13-Reg A&amp;L'!B2</f>
        <v>13-Regulatory Assets and Liabilities</v>
      </c>
    </row>
    <row r="16" spans="1:2" s="13" customFormat="1" ht="18.75" customHeight="1" x14ac:dyDescent="0.2">
      <c r="A16" s="1"/>
      <c r="B16" s="13" t="str">
        <f>'14-Rate base'!B2</f>
        <v>14-Rate base (hypothetical)</v>
      </c>
    </row>
    <row r="17" spans="1:2" s="13" customFormat="1" ht="18.75" customHeight="1" x14ac:dyDescent="0.2">
      <c r="A17" s="1"/>
      <c r="B17" s="13" t="str">
        <f>'15-Income'!B2</f>
        <v>15-Income statement</v>
      </c>
    </row>
    <row r="18" spans="1:2" s="13" customFormat="1" ht="18.75" customHeight="1" x14ac:dyDescent="0.2">
      <c r="A18" s="1"/>
      <c r="B18" s="13" t="str">
        <f>'16-Inc compare'!B2</f>
        <v>16-Income statement comparison</v>
      </c>
    </row>
    <row r="19" spans="1:2" s="13" customFormat="1" ht="18.75" customHeight="1" x14ac:dyDescent="0.2">
      <c r="A19" s="1"/>
      <c r="B19" s="13" t="str">
        <f>'17-Revenues'!B2</f>
        <v>17-Operating revenues</v>
      </c>
    </row>
    <row r="20" spans="1:2" s="13" customFormat="1" ht="18.75" customHeight="1" x14ac:dyDescent="0.2">
      <c r="A20" s="1"/>
      <c r="B20" s="13" t="str">
        <f>'18-Expenses'!B2</f>
        <v>18-Operation and maintenance expenses</v>
      </c>
    </row>
    <row r="21" spans="1:2" s="13" customFormat="1" ht="18.75" customHeight="1" x14ac:dyDescent="0.2">
      <c r="A21" s="1"/>
      <c r="B21" s="13" t="str">
        <f>'19-Exp function'!B2</f>
        <v>19-Operation and maintenance expenses by function (allocated)</v>
      </c>
    </row>
    <row r="22" spans="1:2" s="13" customFormat="1" ht="18.75" customHeight="1" x14ac:dyDescent="0.2">
      <c r="A22" s="1"/>
      <c r="B22" s="13" t="str">
        <f>'20-Cash flow'!B2</f>
        <v>20-Cash flow statement</v>
      </c>
    </row>
    <row r="23" spans="1:2" s="13" customFormat="1" ht="18.75" customHeight="1" x14ac:dyDescent="0.2">
      <c r="A23" s="1"/>
      <c r="B23" s="13" t="str">
        <f>'21-Capital'!B2</f>
        <v>21-Capital structure</v>
      </c>
    </row>
    <row r="24" spans="1:2" s="13" customFormat="1" ht="18.75" customHeight="1" x14ac:dyDescent="0.2">
      <c r="A24" s="1"/>
      <c r="B24" s="13" t="str">
        <f>'22-Returns'!B2</f>
        <v>22-Equity returns</v>
      </c>
    </row>
    <row r="25" spans="1:2" s="13" customFormat="1" ht="18.75" customHeight="1" x14ac:dyDescent="0.2">
      <c r="A25" s="1"/>
      <c r="B25" s="13" t="str">
        <f>'23-Rev require'!B2</f>
        <v>23-Revenue requirements and returns (hypothetical)</v>
      </c>
    </row>
    <row r="26" spans="1:2" s="13" customFormat="1" ht="18.75" customHeight="1" x14ac:dyDescent="0.2">
      <c r="A26" s="1"/>
      <c r="B26" s="13" t="str">
        <f>'24-Conversion'!B2</f>
        <v>24-Revenue Conversion Factor</v>
      </c>
    </row>
    <row r="27" spans="1:2" s="13" customFormat="1" ht="18.75" customHeight="1" x14ac:dyDescent="0.2">
      <c r="A27" s="1"/>
      <c r="B27" s="13" t="str">
        <f>'25-Deficiency'!B2</f>
        <v>25-Revenue deficiency: private (RBROR)</v>
      </c>
    </row>
    <row r="28" spans="1:2" s="13" customFormat="1" ht="18.75" customHeight="1" x14ac:dyDescent="0.2">
      <c r="A28" s="1"/>
      <c r="B28" s="13" t="str">
        <f>'26-Defic-non'!B2</f>
        <v>26-Revenue deficiency: non-private (DSCR)</v>
      </c>
    </row>
    <row r="29" spans="1:2" s="13" customFormat="1" ht="18.75" customHeight="1" x14ac:dyDescent="0.2">
      <c r="A29" s="1"/>
      <c r="B29" s="13" t="str">
        <f>'27-Withdrawals'!B2</f>
        <v>27-Water withdrawals by month</v>
      </c>
    </row>
    <row r="30" spans="1:2" s="13" customFormat="1" ht="18.75" customHeight="1" x14ac:dyDescent="0.2">
      <c r="A30" s="1"/>
      <c r="B30" s="13" t="str">
        <f>'28-Deliveries'!B2</f>
        <v>28-Water deliveries, sales, and unaccounted-for water</v>
      </c>
    </row>
    <row r="31" spans="1:2" s="531" customFormat="1" ht="18.75" customHeight="1" x14ac:dyDescent="0.2">
      <c r="A31" s="33"/>
      <c r="B31" s="13" t="str">
        <f>'29-Nonrevenue'!B2</f>
        <v>29-Non-revenue water production</v>
      </c>
    </row>
    <row r="32" spans="1:2" s="13" customFormat="1" ht="18.75" customHeight="1" x14ac:dyDescent="0.2">
      <c r="A32" s="1"/>
      <c r="B32" s="13" t="str">
        <f>'30-Prices'!B2</f>
        <v>30-Revenues by class and effective prices at present rates</v>
      </c>
    </row>
    <row r="33" spans="1:2" s="13" customFormat="1" ht="18.75" customHeight="1" x14ac:dyDescent="0.2">
      <c r="A33" s="1"/>
      <c r="B33" s="13" t="str">
        <f>'31-Demand'!B2</f>
        <v>31-Average water demand data</v>
      </c>
    </row>
    <row r="34" spans="1:2" s="531" customFormat="1" ht="18.75" customHeight="1" x14ac:dyDescent="0.2">
      <c r="A34" s="33"/>
      <c r="B34" s="640" t="str">
        <f>'32-Usage trends'!B2</f>
        <v>32-Water usage and peaking trends</v>
      </c>
    </row>
    <row r="35" spans="1:2" s="13" customFormat="1" ht="18.75" customHeight="1" x14ac:dyDescent="0.2">
      <c r="A35" s="1"/>
      <c r="B35" s="13" t="str">
        <f>'33-Functionalize'!B2</f>
        <v>33-Functional allocation of plant and expenses</v>
      </c>
    </row>
    <row r="36" spans="1:2" s="13" customFormat="1" ht="18.75" customHeight="1" x14ac:dyDescent="0.2">
      <c r="A36" s="1"/>
      <c r="B36" s="13" t="str">
        <f>'34-Allocate'!B2</f>
        <v>34-Allocation factors for revenues under present rates (hypothetical)</v>
      </c>
    </row>
    <row r="37" spans="1:2" s="13" customFormat="1" ht="18.75" customHeight="1" x14ac:dyDescent="0.2">
      <c r="A37" s="1"/>
      <c r="B37" s="13" t="str">
        <f>'35-Rev increase'!B2</f>
        <v>35-Allocation of revenue increase by class</v>
      </c>
    </row>
    <row r="38" spans="1:2" s="13" customFormat="1" ht="18.75" customHeight="1" x14ac:dyDescent="0.2">
      <c r="A38" s="1"/>
      <c r="B38" s="13" t="str">
        <f>'36-Rev detail'!B2</f>
        <v>36-Rate case revenue detail</v>
      </c>
    </row>
    <row r="39" spans="1:2" s="13" customFormat="1" ht="18.75" customHeight="1" x14ac:dyDescent="0.2">
      <c r="A39" s="1"/>
      <c r="B39" s="13" t="str">
        <f>'37-Bills'!B2</f>
        <v>37-Water tariffs, rates, and bills</v>
      </c>
    </row>
    <row r="40" spans="1:2" s="13" customFormat="1" ht="18.75" customHeight="1" x14ac:dyDescent="0.2">
      <c r="A40" s="1"/>
      <c r="B40" s="13" t="str">
        <f>'38-PA rates'!B2</f>
        <v>38-Pennsylvania bill comparison (PA-OCA, 2018)</v>
      </c>
    </row>
    <row r="41" spans="1:2" s="13" customFormat="1" ht="18.75" customHeight="1" x14ac:dyDescent="0.2">
      <c r="A41" s="1"/>
      <c r="B41" s="13" t="str">
        <f>'39-PA calculator'!AE2</f>
        <v>39-Pennsylvania bill calculator (PA-OCA, 2018)</v>
      </c>
    </row>
    <row r="42" spans="1:2" s="13" customFormat="1" ht="18.75" customHeight="1" x14ac:dyDescent="0.2">
      <c r="A42" s="1"/>
    </row>
    <row r="43" spans="1:2" s="13" customFormat="1" ht="18.75" customHeight="1" x14ac:dyDescent="0.2">
      <c r="A43" s="1"/>
      <c r="B43" s="1" t="s">
        <v>2</v>
      </c>
    </row>
    <row r="44" spans="1:2" s="13" customFormat="1" ht="18.75" customHeight="1" x14ac:dyDescent="0.2">
      <c r="A44" s="1"/>
      <c r="B44" s="13" t="s">
        <v>3</v>
      </c>
    </row>
    <row r="45" spans="1:2" s="148" customFormat="1" ht="105" x14ac:dyDescent="0.25">
      <c r="A45" s="100"/>
      <c r="B45" s="498" t="s">
        <v>4</v>
      </c>
    </row>
  </sheetData>
  <pageMargins left="0.7" right="0.7" top="0.75" bottom="0.75" header="0.3" footer="0.3"/>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F2F2"/>
  </sheetPr>
  <dimension ref="B1:I84"/>
  <sheetViews>
    <sheetView showGridLines="0" zoomScale="125" zoomScaleNormal="125" zoomScalePageLayoutView="125" workbookViewId="0">
      <selection activeCell="J10" sqref="J10"/>
    </sheetView>
  </sheetViews>
  <sheetFormatPr defaultColWidth="10.85546875" defaultRowHeight="12.75" x14ac:dyDescent="0.25"/>
  <cols>
    <col min="1" max="1" width="2.7109375" style="1" customWidth="1"/>
    <col min="2" max="2" width="6.7109375" style="2" customWidth="1"/>
    <col min="3" max="3" width="7.140625" style="2" customWidth="1"/>
    <col min="4" max="4" width="7.140625" style="38" customWidth="1"/>
    <col min="5" max="5" width="46.28515625" style="1" customWidth="1"/>
    <col min="6" max="6" width="14.7109375" style="1" customWidth="1"/>
    <col min="7" max="8" width="14.7109375" style="10" customWidth="1"/>
    <col min="9" max="33" width="10.85546875" style="1"/>
    <col min="34" max="56" width="10.85546875" style="1" customWidth="1"/>
    <col min="57" max="16384" width="10.85546875" style="1"/>
  </cols>
  <sheetData>
    <row r="1" spans="2:8" s="9" customFormat="1" ht="9.75" customHeight="1" x14ac:dyDescent="0.25">
      <c r="B1" s="80"/>
    </row>
    <row r="2" spans="2:8" s="8" customFormat="1" ht="37.5" customHeight="1" x14ac:dyDescent="0.25">
      <c r="B2" s="37" t="s">
        <v>278</v>
      </c>
      <c r="C2" s="36"/>
      <c r="D2" s="79"/>
      <c r="G2" s="35"/>
      <c r="H2" s="35"/>
    </row>
    <row r="3" spans="2:8" ht="18.75" customHeight="1" x14ac:dyDescent="0.25">
      <c r="B3" s="256" t="s">
        <v>13</v>
      </c>
      <c r="C3" s="256" t="s">
        <v>188</v>
      </c>
      <c r="D3" s="261" t="s">
        <v>54</v>
      </c>
      <c r="E3" s="256" t="s">
        <v>55</v>
      </c>
      <c r="F3" s="256">
        <v>2018</v>
      </c>
      <c r="G3" s="262">
        <v>2017</v>
      </c>
      <c r="H3" s="262">
        <v>2016</v>
      </c>
    </row>
    <row r="4" spans="2:8" ht="18.75" customHeight="1" x14ac:dyDescent="0.25">
      <c r="B4" s="18">
        <v>1</v>
      </c>
      <c r="C4" s="171"/>
      <c r="D4" s="174"/>
      <c r="E4" s="158" t="s">
        <v>279</v>
      </c>
      <c r="F4" s="266"/>
      <c r="G4" s="266"/>
      <c r="H4" s="266"/>
    </row>
    <row r="5" spans="2:8" ht="18.75" customHeight="1" x14ac:dyDescent="0.25">
      <c r="B5" s="18">
        <f>B4+1</f>
        <v>2</v>
      </c>
      <c r="C5" s="171"/>
      <c r="D5" s="174">
        <v>231</v>
      </c>
      <c r="E5" s="158" t="s">
        <v>280</v>
      </c>
      <c r="F5" s="266">
        <v>1998910</v>
      </c>
      <c r="G5" s="266">
        <v>2407073</v>
      </c>
      <c r="H5" s="266">
        <v>3711243</v>
      </c>
    </row>
    <row r="6" spans="2:8" ht="18.75" customHeight="1" x14ac:dyDescent="0.25">
      <c r="B6" s="18">
        <f t="shared" ref="B6:B57" si="0">B5+1</f>
        <v>3</v>
      </c>
      <c r="C6" s="171">
        <v>225</v>
      </c>
      <c r="D6" s="174">
        <v>232</v>
      </c>
      <c r="E6" s="158" t="s">
        <v>281</v>
      </c>
      <c r="F6" s="266">
        <v>1029879</v>
      </c>
      <c r="G6" s="266">
        <v>1044445</v>
      </c>
      <c r="H6" s="266">
        <v>44003</v>
      </c>
    </row>
    <row r="7" spans="2:8" ht="18.75" customHeight="1" x14ac:dyDescent="0.25">
      <c r="B7" s="18">
        <f t="shared" si="0"/>
        <v>4</v>
      </c>
      <c r="C7" s="171">
        <v>226</v>
      </c>
      <c r="D7" s="174">
        <v>233</v>
      </c>
      <c r="E7" s="158" t="s">
        <v>282</v>
      </c>
      <c r="F7" s="266"/>
      <c r="G7" s="266"/>
      <c r="H7" s="266"/>
    </row>
    <row r="8" spans="2:8" ht="18.75" customHeight="1" x14ac:dyDescent="0.25">
      <c r="B8" s="18">
        <f t="shared" si="0"/>
        <v>5</v>
      </c>
      <c r="C8" s="171">
        <v>227</v>
      </c>
      <c r="D8" s="174">
        <v>234</v>
      </c>
      <c r="E8" s="158" t="s">
        <v>283</v>
      </c>
      <c r="F8" s="266"/>
      <c r="G8" s="266"/>
      <c r="H8" s="266"/>
    </row>
    <row r="9" spans="2:8" ht="18.75" customHeight="1" x14ac:dyDescent="0.25">
      <c r="B9" s="18">
        <f t="shared" si="0"/>
        <v>6</v>
      </c>
      <c r="C9" s="171"/>
      <c r="D9" s="174">
        <v>235</v>
      </c>
      <c r="E9" s="158" t="s">
        <v>284</v>
      </c>
      <c r="F9" s="266"/>
      <c r="G9" s="266"/>
      <c r="H9" s="266"/>
    </row>
    <row r="10" spans="2:8" ht="18.75" customHeight="1" x14ac:dyDescent="0.25">
      <c r="B10" s="18">
        <f t="shared" si="0"/>
        <v>7</v>
      </c>
      <c r="C10" s="171">
        <v>418</v>
      </c>
      <c r="D10" s="174">
        <v>236.11</v>
      </c>
      <c r="E10" s="158" t="s">
        <v>285</v>
      </c>
      <c r="F10" s="266">
        <v>12913</v>
      </c>
      <c r="G10" s="266">
        <v>10044</v>
      </c>
      <c r="H10" s="266">
        <v>9078</v>
      </c>
    </row>
    <row r="11" spans="2:8" ht="18.75" customHeight="1" x14ac:dyDescent="0.25">
      <c r="B11" s="18">
        <f t="shared" si="0"/>
        <v>8</v>
      </c>
      <c r="C11" s="171" t="s">
        <v>272</v>
      </c>
      <c r="D11" s="174">
        <v>236.12</v>
      </c>
      <c r="E11" s="158" t="s">
        <v>286</v>
      </c>
      <c r="F11" s="266">
        <v>150191</v>
      </c>
      <c r="G11" s="266">
        <v>531303</v>
      </c>
      <c r="H11" s="266">
        <v>-281745</v>
      </c>
    </row>
    <row r="12" spans="2:8" ht="18.75" customHeight="1" x14ac:dyDescent="0.25">
      <c r="B12" s="18">
        <f t="shared" si="0"/>
        <v>9</v>
      </c>
      <c r="C12" s="171" t="s">
        <v>272</v>
      </c>
      <c r="D12" s="174">
        <v>236.2</v>
      </c>
      <c r="E12" s="158" t="s">
        <v>287</v>
      </c>
      <c r="F12" s="266"/>
      <c r="G12" s="266"/>
      <c r="H12" s="266"/>
    </row>
    <row r="13" spans="2:8" ht="18.75" customHeight="1" x14ac:dyDescent="0.25">
      <c r="B13" s="18">
        <f t="shared" si="0"/>
        <v>10</v>
      </c>
      <c r="C13" s="171"/>
      <c r="D13" s="174">
        <v>237.1</v>
      </c>
      <c r="E13" s="158" t="s">
        <v>288</v>
      </c>
      <c r="F13" s="266">
        <v>992315</v>
      </c>
      <c r="G13" s="266">
        <v>988814</v>
      </c>
      <c r="H13" s="266">
        <v>920636</v>
      </c>
    </row>
    <row r="14" spans="2:8" ht="18.75" customHeight="1" x14ac:dyDescent="0.25">
      <c r="B14" s="18">
        <f t="shared" si="0"/>
        <v>11</v>
      </c>
      <c r="C14" s="171"/>
      <c r="D14" s="174">
        <v>237.2</v>
      </c>
      <c r="E14" s="158" t="s">
        <v>289</v>
      </c>
      <c r="F14" s="266"/>
      <c r="G14" s="266"/>
      <c r="H14" s="266"/>
    </row>
    <row r="15" spans="2:8" ht="18.75" customHeight="1" x14ac:dyDescent="0.25">
      <c r="B15" s="18">
        <f t="shared" si="0"/>
        <v>12</v>
      </c>
      <c r="C15" s="171"/>
      <c r="D15" s="174">
        <v>238</v>
      </c>
      <c r="E15" s="158" t="s">
        <v>290</v>
      </c>
      <c r="F15" s="266">
        <v>1999344</v>
      </c>
      <c r="G15" s="266">
        <v>1891760</v>
      </c>
      <c r="H15" s="266">
        <v>1802793</v>
      </c>
    </row>
    <row r="16" spans="2:8" ht="18.75" customHeight="1" x14ac:dyDescent="0.25">
      <c r="B16" s="18">
        <f t="shared" si="0"/>
        <v>13</v>
      </c>
      <c r="C16" s="171"/>
      <c r="D16" s="174">
        <v>239</v>
      </c>
      <c r="E16" s="158" t="s">
        <v>291</v>
      </c>
      <c r="F16" s="266"/>
      <c r="G16" s="266"/>
      <c r="H16" s="266"/>
    </row>
    <row r="17" spans="2:9" ht="18.75" customHeight="1" x14ac:dyDescent="0.25">
      <c r="B17" s="18">
        <f t="shared" si="0"/>
        <v>14</v>
      </c>
      <c r="C17" s="171"/>
      <c r="D17" s="174">
        <v>240</v>
      </c>
      <c r="E17" s="158" t="s">
        <v>292</v>
      </c>
      <c r="F17" s="266"/>
      <c r="G17" s="266"/>
      <c r="H17" s="266"/>
    </row>
    <row r="18" spans="2:9" ht="18.75" customHeight="1" x14ac:dyDescent="0.25">
      <c r="B18" s="18">
        <f t="shared" si="0"/>
        <v>15</v>
      </c>
      <c r="C18" s="171">
        <v>228</v>
      </c>
      <c r="D18" s="174">
        <v>241</v>
      </c>
      <c r="E18" s="158" t="s">
        <v>293</v>
      </c>
      <c r="F18" s="271">
        <v>3627047</v>
      </c>
      <c r="G18" s="271">
        <v>1543444</v>
      </c>
      <c r="H18" s="271">
        <v>1738448</v>
      </c>
    </row>
    <row r="19" spans="2:9" ht="18.75" customHeight="1" x14ac:dyDescent="0.25">
      <c r="B19" s="18">
        <f t="shared" si="0"/>
        <v>16</v>
      </c>
      <c r="C19" s="171"/>
      <c r="D19" s="174"/>
      <c r="E19" s="158" t="s">
        <v>294</v>
      </c>
      <c r="F19" s="365">
        <f>SUM(F5:F18)</f>
        <v>9810599</v>
      </c>
      <c r="G19" s="365">
        <f>SUM(G5:G18)</f>
        <v>8416883</v>
      </c>
      <c r="H19" s="365">
        <f>SUM(H5:H18)</f>
        <v>7944456</v>
      </c>
    </row>
    <row r="20" spans="2:9" ht="18.75" customHeight="1" x14ac:dyDescent="0.25">
      <c r="B20" s="18">
        <f t="shared" si="0"/>
        <v>17</v>
      </c>
      <c r="C20" s="171"/>
      <c r="D20" s="174"/>
      <c r="E20" s="158"/>
      <c r="F20" s="268"/>
      <c r="G20" s="268"/>
      <c r="H20" s="268"/>
    </row>
    <row r="21" spans="2:9" ht="18.75" customHeight="1" x14ac:dyDescent="0.25">
      <c r="B21" s="18">
        <f t="shared" si="0"/>
        <v>18</v>
      </c>
      <c r="C21" s="171"/>
      <c r="D21" s="174"/>
      <c r="E21" s="158" t="s">
        <v>295</v>
      </c>
      <c r="F21" s="266"/>
      <c r="G21" s="266"/>
      <c r="H21" s="266"/>
    </row>
    <row r="22" spans="2:9" ht="18.75" customHeight="1" x14ac:dyDescent="0.25">
      <c r="B22" s="18">
        <f t="shared" si="0"/>
        <v>19</v>
      </c>
      <c r="C22" s="171">
        <v>217</v>
      </c>
      <c r="D22" s="174">
        <v>251</v>
      </c>
      <c r="E22" s="158" t="s">
        <v>296</v>
      </c>
      <c r="F22" s="266"/>
      <c r="G22" s="266"/>
      <c r="H22" s="266"/>
    </row>
    <row r="23" spans="2:9" ht="18.75" customHeight="1" x14ac:dyDescent="0.25">
      <c r="B23" s="18">
        <f t="shared" si="0"/>
        <v>20</v>
      </c>
      <c r="C23" s="171">
        <v>229</v>
      </c>
      <c r="D23" s="174">
        <v>252</v>
      </c>
      <c r="E23" s="158" t="s">
        <v>297</v>
      </c>
      <c r="F23" s="299">
        <v>6849139</v>
      </c>
      <c r="G23" s="299">
        <v>6323876</v>
      </c>
      <c r="H23" s="299">
        <v>7101723</v>
      </c>
      <c r="I23" s="462" t="s">
        <v>12</v>
      </c>
    </row>
    <row r="24" spans="2:9" ht="18.75" customHeight="1" x14ac:dyDescent="0.25">
      <c r="B24" s="18">
        <f t="shared" si="0"/>
        <v>21</v>
      </c>
      <c r="C24" s="171"/>
      <c r="D24" s="174"/>
      <c r="E24" s="158"/>
      <c r="F24" s="299"/>
      <c r="G24" s="299"/>
      <c r="H24" s="299"/>
      <c r="I24" s="138"/>
    </row>
    <row r="25" spans="2:9" ht="18.75" customHeight="1" x14ac:dyDescent="0.25">
      <c r="B25" s="18">
        <f t="shared" si="0"/>
        <v>22</v>
      </c>
      <c r="C25" s="171">
        <v>230</v>
      </c>
      <c r="D25" s="174">
        <v>253</v>
      </c>
      <c r="E25" s="158" t="s">
        <v>298</v>
      </c>
      <c r="F25" s="299">
        <v>10509060</v>
      </c>
      <c r="G25" s="299">
        <v>4432332</v>
      </c>
      <c r="H25" s="299">
        <v>10005445</v>
      </c>
      <c r="I25" s="138"/>
    </row>
    <row r="26" spans="2:9" ht="18.75" customHeight="1" x14ac:dyDescent="0.25">
      <c r="B26" s="18">
        <f t="shared" si="0"/>
        <v>23</v>
      </c>
      <c r="C26" s="171">
        <v>230</v>
      </c>
      <c r="D26" s="174"/>
      <c r="E26" s="158" t="s">
        <v>299</v>
      </c>
      <c r="F26" s="299">
        <f>17039319-F25</f>
        <v>6530259</v>
      </c>
      <c r="G26" s="299">
        <f>19276357-G25</f>
        <v>14844025</v>
      </c>
      <c r="H26" s="299">
        <f>15714624-H25</f>
        <v>5709179</v>
      </c>
      <c r="I26" s="138"/>
    </row>
    <row r="27" spans="2:9" ht="18.75" customHeight="1" x14ac:dyDescent="0.25">
      <c r="B27" s="18">
        <f t="shared" si="0"/>
        <v>24</v>
      </c>
      <c r="C27" s="171"/>
      <c r="D27" s="174">
        <v>255.1</v>
      </c>
      <c r="E27" s="158" t="s">
        <v>300</v>
      </c>
      <c r="F27" s="299">
        <v>578478</v>
      </c>
      <c r="G27" s="299">
        <v>617725</v>
      </c>
      <c r="H27" s="299">
        <v>656945</v>
      </c>
      <c r="I27" s="138"/>
    </row>
    <row r="28" spans="2:9" ht="18.75" customHeight="1" x14ac:dyDescent="0.25">
      <c r="B28" s="18">
        <f t="shared" si="0"/>
        <v>25</v>
      </c>
      <c r="C28" s="171"/>
      <c r="D28" s="174"/>
      <c r="E28" s="158"/>
      <c r="F28" s="296"/>
      <c r="G28" s="296"/>
      <c r="H28" s="296"/>
      <c r="I28" s="138"/>
    </row>
    <row r="29" spans="2:9" ht="18.75" customHeight="1" x14ac:dyDescent="0.25">
      <c r="B29" s="18">
        <f t="shared" si="0"/>
        <v>26</v>
      </c>
      <c r="C29" s="171"/>
      <c r="D29" s="174"/>
      <c r="E29" s="158" t="s">
        <v>301</v>
      </c>
      <c r="F29" s="672">
        <f>SUM(F22:F28)</f>
        <v>24466936</v>
      </c>
      <c r="G29" s="672">
        <f>SUM(G22:G28)</f>
        <v>26217958</v>
      </c>
      <c r="H29" s="672">
        <f>SUM(H22:H28)</f>
        <v>23473292</v>
      </c>
      <c r="I29" s="138"/>
    </row>
    <row r="30" spans="2:9" ht="18.75" customHeight="1" x14ac:dyDescent="0.25">
      <c r="B30" s="18">
        <f t="shared" si="0"/>
        <v>27</v>
      </c>
      <c r="C30" s="171"/>
      <c r="D30" s="174"/>
      <c r="E30" s="158"/>
      <c r="F30" s="268"/>
      <c r="G30" s="268"/>
      <c r="H30" s="268"/>
    </row>
    <row r="31" spans="2:9" ht="18.75" customHeight="1" x14ac:dyDescent="0.25">
      <c r="B31" s="18">
        <f t="shared" si="0"/>
        <v>28</v>
      </c>
      <c r="C31" s="171"/>
      <c r="D31" s="174"/>
      <c r="E31" s="158" t="s">
        <v>302</v>
      </c>
      <c r="F31" s="266"/>
      <c r="G31" s="266"/>
      <c r="H31" s="266"/>
    </row>
    <row r="32" spans="2:9" ht="18.75" customHeight="1" x14ac:dyDescent="0.25">
      <c r="B32" s="18">
        <f t="shared" si="0"/>
        <v>29</v>
      </c>
      <c r="C32" s="171"/>
      <c r="D32" s="174">
        <v>261</v>
      </c>
      <c r="E32" s="158" t="s">
        <v>303</v>
      </c>
      <c r="F32" s="266"/>
      <c r="G32" s="266"/>
      <c r="H32" s="266"/>
    </row>
    <row r="33" spans="2:8" ht="18.75" customHeight="1" x14ac:dyDescent="0.25">
      <c r="B33" s="18">
        <f t="shared" si="0"/>
        <v>30</v>
      </c>
      <c r="C33" s="171"/>
      <c r="D33" s="174">
        <v>262</v>
      </c>
      <c r="E33" s="158" t="s">
        <v>304</v>
      </c>
      <c r="F33" s="266"/>
      <c r="G33" s="266"/>
      <c r="H33" s="266"/>
    </row>
    <row r="34" spans="2:8" ht="18.75" customHeight="1" x14ac:dyDescent="0.25">
      <c r="B34" s="18">
        <f t="shared" si="0"/>
        <v>31</v>
      </c>
      <c r="C34" s="171"/>
      <c r="D34" s="174">
        <v>263</v>
      </c>
      <c r="E34" s="158" t="s">
        <v>305</v>
      </c>
      <c r="F34" s="266"/>
      <c r="G34" s="266"/>
      <c r="H34" s="266"/>
    </row>
    <row r="35" spans="2:8" ht="18.75" customHeight="1" x14ac:dyDescent="0.25">
      <c r="B35" s="18">
        <f t="shared" si="0"/>
        <v>32</v>
      </c>
      <c r="C35" s="171"/>
      <c r="D35" s="174">
        <v>265</v>
      </c>
      <c r="E35" s="158" t="s">
        <v>306</v>
      </c>
      <c r="F35" s="271"/>
      <c r="G35" s="271"/>
      <c r="H35" s="271"/>
    </row>
    <row r="36" spans="2:8" ht="18.75" customHeight="1" x14ac:dyDescent="0.25">
      <c r="B36" s="18">
        <f t="shared" si="0"/>
        <v>33</v>
      </c>
      <c r="C36" s="171"/>
      <c r="D36" s="175"/>
      <c r="E36" s="158" t="s">
        <v>307</v>
      </c>
      <c r="F36" s="365">
        <v>0</v>
      </c>
      <c r="G36" s="365">
        <v>0</v>
      </c>
      <c r="H36" s="365">
        <v>0</v>
      </c>
    </row>
    <row r="37" spans="2:8" ht="18.75" customHeight="1" x14ac:dyDescent="0.25">
      <c r="B37" s="18">
        <f t="shared" si="0"/>
        <v>34</v>
      </c>
      <c r="C37" s="171"/>
      <c r="D37" s="175"/>
      <c r="E37" s="158"/>
      <c r="F37" s="268"/>
      <c r="G37" s="268"/>
      <c r="H37" s="268"/>
    </row>
    <row r="38" spans="2:8" ht="18.75" customHeight="1" x14ac:dyDescent="0.25">
      <c r="B38" s="18">
        <f t="shared" si="0"/>
        <v>35</v>
      </c>
      <c r="C38" s="171"/>
      <c r="D38" s="175"/>
      <c r="E38" s="158" t="s">
        <v>308</v>
      </c>
      <c r="F38" s="266"/>
      <c r="G38" s="266"/>
      <c r="H38" s="266"/>
    </row>
    <row r="39" spans="2:8" ht="18.75" customHeight="1" x14ac:dyDescent="0.25">
      <c r="B39" s="18">
        <f t="shared" si="0"/>
        <v>36</v>
      </c>
      <c r="C39" s="171"/>
      <c r="D39" s="175">
        <v>271.10000000000002</v>
      </c>
      <c r="E39" s="158" t="s">
        <v>309</v>
      </c>
      <c r="F39" s="266">
        <v>4161033</v>
      </c>
      <c r="G39" s="266">
        <v>3776313</v>
      </c>
      <c r="H39" s="266">
        <v>3598230</v>
      </c>
    </row>
    <row r="40" spans="2:8" ht="18.75" customHeight="1" x14ac:dyDescent="0.25">
      <c r="B40" s="18">
        <f t="shared" si="0"/>
        <v>37</v>
      </c>
      <c r="C40" s="171"/>
      <c r="D40" s="175">
        <v>271.2</v>
      </c>
      <c r="E40" s="158" t="s">
        <v>310</v>
      </c>
      <c r="F40" s="266">
        <v>35531035</v>
      </c>
      <c r="G40" s="266">
        <v>34853568</v>
      </c>
      <c r="H40" s="266">
        <v>33038548</v>
      </c>
    </row>
    <row r="41" spans="2:8" ht="18.75" customHeight="1" x14ac:dyDescent="0.25">
      <c r="B41" s="18">
        <f t="shared" si="0"/>
        <v>38</v>
      </c>
      <c r="C41" s="171"/>
      <c r="D41" s="175">
        <v>271.3</v>
      </c>
      <c r="E41" s="158" t="s">
        <v>311</v>
      </c>
      <c r="F41" s="266"/>
      <c r="G41" s="266"/>
      <c r="H41" s="266"/>
    </row>
    <row r="42" spans="2:8" ht="18.75" customHeight="1" x14ac:dyDescent="0.25">
      <c r="B42" s="18">
        <f t="shared" si="0"/>
        <v>39</v>
      </c>
      <c r="C42" s="171"/>
      <c r="D42" s="175">
        <v>271.39999999999998</v>
      </c>
      <c r="E42" s="158" t="s">
        <v>312</v>
      </c>
      <c r="F42" s="266"/>
      <c r="G42" s="266"/>
      <c r="H42" s="266"/>
    </row>
    <row r="43" spans="2:8" ht="18.75" customHeight="1" x14ac:dyDescent="0.25">
      <c r="B43" s="18">
        <f t="shared" si="0"/>
        <v>40</v>
      </c>
      <c r="C43" s="171"/>
      <c r="D43" s="175">
        <v>272</v>
      </c>
      <c r="E43" s="158" t="s">
        <v>202</v>
      </c>
      <c r="F43" s="271"/>
      <c r="G43" s="271"/>
      <c r="H43" s="271"/>
    </row>
    <row r="44" spans="2:8" ht="18.75" customHeight="1" x14ac:dyDescent="0.25">
      <c r="B44" s="18">
        <f t="shared" si="0"/>
        <v>41</v>
      </c>
      <c r="C44" s="171"/>
      <c r="D44" s="175"/>
      <c r="E44" s="158" t="s">
        <v>313</v>
      </c>
      <c r="F44" s="365">
        <f>SUM(F39:F43)</f>
        <v>39692068</v>
      </c>
      <c r="G44" s="365">
        <f>SUM(G39:G43)</f>
        <v>38629881</v>
      </c>
      <c r="H44" s="365">
        <f>SUM(H39:H43)</f>
        <v>36636778</v>
      </c>
    </row>
    <row r="45" spans="2:8" ht="18.75" customHeight="1" x14ac:dyDescent="0.25">
      <c r="B45" s="18">
        <f t="shared" si="0"/>
        <v>42</v>
      </c>
      <c r="C45" s="171"/>
      <c r="D45" s="175"/>
      <c r="E45" s="158"/>
      <c r="F45" s="268"/>
      <c r="G45" s="268" t="s">
        <v>12</v>
      </c>
      <c r="H45" s="268" t="s">
        <v>12</v>
      </c>
    </row>
    <row r="46" spans="2:8" ht="18.75" customHeight="1" x14ac:dyDescent="0.25">
      <c r="B46" s="18">
        <f t="shared" si="0"/>
        <v>43</v>
      </c>
      <c r="C46" s="171"/>
      <c r="D46" s="175"/>
      <c r="E46" s="158" t="s">
        <v>314</v>
      </c>
      <c r="F46" s="266"/>
      <c r="G46" s="266"/>
      <c r="H46" s="266"/>
    </row>
    <row r="47" spans="2:8" ht="18.75" customHeight="1" x14ac:dyDescent="0.25">
      <c r="B47" s="18">
        <f t="shared" si="0"/>
        <v>44</v>
      </c>
      <c r="C47" s="171"/>
      <c r="D47" s="175">
        <v>281</v>
      </c>
      <c r="E47" s="158" t="s">
        <v>315</v>
      </c>
      <c r="F47" s="266"/>
      <c r="G47" s="266"/>
      <c r="H47" s="266"/>
    </row>
    <row r="48" spans="2:8" ht="18.75" customHeight="1" x14ac:dyDescent="0.25">
      <c r="B48" s="18">
        <f t="shared" si="0"/>
        <v>45</v>
      </c>
      <c r="C48" s="171"/>
      <c r="D48" s="175">
        <v>282</v>
      </c>
      <c r="E48" s="158" t="s">
        <v>316</v>
      </c>
      <c r="F48" s="266">
        <v>36685020</v>
      </c>
      <c r="G48" s="266">
        <v>36393401</v>
      </c>
      <c r="H48" s="266">
        <v>34050145</v>
      </c>
    </row>
    <row r="49" spans="2:8" ht="18.75" customHeight="1" x14ac:dyDescent="0.25">
      <c r="B49" s="18">
        <f t="shared" si="0"/>
        <v>46</v>
      </c>
      <c r="C49" s="171"/>
      <c r="D49" s="175">
        <v>283</v>
      </c>
      <c r="E49" s="158" t="s">
        <v>312</v>
      </c>
      <c r="F49" s="271">
        <v>13764359</v>
      </c>
      <c r="G49" s="271">
        <v>11977744</v>
      </c>
      <c r="H49" s="271">
        <v>19343545</v>
      </c>
    </row>
    <row r="50" spans="2:8" ht="18.75" customHeight="1" x14ac:dyDescent="0.25">
      <c r="B50" s="18">
        <f t="shared" si="0"/>
        <v>47</v>
      </c>
      <c r="C50" s="171"/>
      <c r="D50" s="175"/>
      <c r="E50" s="158" t="s">
        <v>317</v>
      </c>
      <c r="F50" s="365">
        <f>SUM(F48:F49)</f>
        <v>50449379</v>
      </c>
      <c r="G50" s="365">
        <f>SUM(G48:G49)</f>
        <v>48371145</v>
      </c>
      <c r="H50" s="365">
        <f>SUM(H48:H49)</f>
        <v>53393690</v>
      </c>
    </row>
    <row r="51" spans="2:8" ht="18.75" customHeight="1" x14ac:dyDescent="0.25">
      <c r="B51" s="18">
        <f t="shared" si="0"/>
        <v>48</v>
      </c>
      <c r="C51" s="171"/>
      <c r="D51" s="175"/>
      <c r="E51" s="158"/>
      <c r="F51" s="268"/>
      <c r="G51" s="268"/>
      <c r="H51" s="268"/>
    </row>
    <row r="52" spans="2:8" ht="18.75" customHeight="1" x14ac:dyDescent="0.25">
      <c r="B52" s="18">
        <f t="shared" si="0"/>
        <v>49</v>
      </c>
      <c r="C52" s="171"/>
      <c r="D52" s="175"/>
      <c r="E52" s="158" t="s">
        <v>318</v>
      </c>
      <c r="F52" s="266"/>
      <c r="G52" s="266"/>
      <c r="H52" s="266"/>
    </row>
    <row r="53" spans="2:8" ht="18.75" customHeight="1" x14ac:dyDescent="0.25">
      <c r="B53" s="18">
        <f t="shared" si="0"/>
        <v>50</v>
      </c>
      <c r="C53" s="171"/>
      <c r="D53" s="175"/>
      <c r="E53" s="17" t="s">
        <v>319</v>
      </c>
      <c r="F53" s="266">
        <v>127014672</v>
      </c>
      <c r="G53" s="266">
        <v>119868641</v>
      </c>
      <c r="H53" s="266">
        <v>114243958</v>
      </c>
    </row>
    <row r="54" spans="2:8" ht="18.75" customHeight="1" x14ac:dyDescent="0.25">
      <c r="B54" s="18">
        <f t="shared" si="0"/>
        <v>51</v>
      </c>
      <c r="C54" s="171"/>
      <c r="D54" s="175"/>
      <c r="E54" s="17" t="s">
        <v>320</v>
      </c>
      <c r="F54" s="271">
        <v>95877719</v>
      </c>
      <c r="G54" s="271">
        <v>92789252</v>
      </c>
      <c r="H54" s="271">
        <v>87444324</v>
      </c>
    </row>
    <row r="55" spans="2:8" ht="18.75" customHeight="1" x14ac:dyDescent="0.25">
      <c r="B55" s="18">
        <f t="shared" si="0"/>
        <v>52</v>
      </c>
      <c r="C55" s="171"/>
      <c r="D55" s="175"/>
      <c r="E55" s="158" t="s">
        <v>321</v>
      </c>
      <c r="F55" s="365">
        <f>SUM(F53:F54)</f>
        <v>222892391</v>
      </c>
      <c r="G55" s="365">
        <f>SUM(G53:G54)</f>
        <v>212657893</v>
      </c>
      <c r="H55" s="365">
        <f>SUM(H53:H54)</f>
        <v>201688282</v>
      </c>
    </row>
    <row r="56" spans="2:8" ht="18.75" customHeight="1" x14ac:dyDescent="0.25">
      <c r="B56" s="18">
        <f t="shared" si="0"/>
        <v>53</v>
      </c>
      <c r="C56" s="171"/>
      <c r="D56" s="175"/>
      <c r="E56" s="158"/>
      <c r="F56" s="280"/>
      <c r="G56" s="280"/>
      <c r="H56" s="280"/>
    </row>
    <row r="57" spans="2:8" ht="18.75" customHeight="1" x14ac:dyDescent="0.25">
      <c r="B57" s="18">
        <f t="shared" si="0"/>
        <v>54</v>
      </c>
      <c r="C57" s="171"/>
      <c r="D57" s="175"/>
      <c r="E57" s="158" t="s">
        <v>322</v>
      </c>
      <c r="F57" s="365">
        <f>F55+F50+F44+F29+F19+F2</f>
        <v>347311373</v>
      </c>
      <c r="G57" s="365">
        <f>G55+G50+G44+G29+G19+G2</f>
        <v>334293760</v>
      </c>
      <c r="H57" s="365">
        <f>H55+H50+H44+H29+H19+H2</f>
        <v>323136498</v>
      </c>
    </row>
    <row r="58" spans="2:8" ht="18.75" customHeight="1" x14ac:dyDescent="0.25"/>
    <row r="59" spans="2:8" ht="18.75" customHeight="1" x14ac:dyDescent="0.25">
      <c r="B59" s="39" t="s">
        <v>323</v>
      </c>
    </row>
    <row r="60" spans="2:8" ht="18.75" customHeight="1" x14ac:dyDescent="0.25"/>
    <row r="61" spans="2:8" ht="18.75" customHeight="1" x14ac:dyDescent="0.25"/>
    <row r="62" spans="2:8" ht="18.75" customHeight="1" x14ac:dyDescent="0.25">
      <c r="B62" s="1"/>
    </row>
    <row r="63" spans="2:8" ht="18.75" customHeight="1" x14ac:dyDescent="0.25"/>
    <row r="64" spans="2:8" ht="18.75" customHeight="1" x14ac:dyDescent="0.25"/>
    <row r="65" ht="18.75" customHeight="1" x14ac:dyDescent="0.25"/>
    <row r="66" ht="18.75" customHeight="1" x14ac:dyDescent="0.25"/>
    <row r="67" ht="18.75" customHeight="1" x14ac:dyDescent="0.25"/>
    <row r="68" ht="18.75" customHeight="1" x14ac:dyDescent="0.25"/>
    <row r="69" ht="18.75" customHeight="1" x14ac:dyDescent="0.25"/>
    <row r="70" ht="18.75" customHeight="1" x14ac:dyDescent="0.25"/>
    <row r="71" ht="18.75" customHeight="1" x14ac:dyDescent="0.25"/>
    <row r="72" ht="18.75" customHeight="1" x14ac:dyDescent="0.25"/>
    <row r="73" ht="18.75" customHeight="1" x14ac:dyDescent="0.25"/>
    <row r="74" ht="18.75" customHeight="1" x14ac:dyDescent="0.25"/>
    <row r="75" ht="18.75" customHeight="1" x14ac:dyDescent="0.25"/>
    <row r="76" ht="18.75" customHeight="1" x14ac:dyDescent="0.25"/>
    <row r="77" ht="18.75" customHeight="1" x14ac:dyDescent="0.25"/>
    <row r="78" ht="18.75" customHeight="1" x14ac:dyDescent="0.25"/>
    <row r="79" ht="18.75" customHeight="1" x14ac:dyDescent="0.25"/>
    <row r="80" ht="18.75" customHeight="1" x14ac:dyDescent="0.25"/>
    <row r="81" ht="18.75" customHeight="1" x14ac:dyDescent="0.25"/>
    <row r="82" ht="18.75" customHeight="1" x14ac:dyDescent="0.25"/>
    <row r="83" ht="18.75" customHeight="1" x14ac:dyDescent="0.25"/>
    <row r="84" ht="18.75" customHeight="1" x14ac:dyDescent="0.25"/>
  </sheetData>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F2F2"/>
  </sheetPr>
  <dimension ref="B1:H48"/>
  <sheetViews>
    <sheetView showGridLines="0" zoomScale="125" zoomScaleNormal="125" zoomScalePageLayoutView="125" workbookViewId="0">
      <selection activeCell="A3" sqref="A3"/>
    </sheetView>
  </sheetViews>
  <sheetFormatPr defaultColWidth="10.85546875" defaultRowHeight="14.1" customHeight="1" x14ac:dyDescent="0.25"/>
  <cols>
    <col min="1" max="1" width="2.7109375" style="1" customWidth="1"/>
    <col min="2" max="2" width="6.7109375" style="1" customWidth="1"/>
    <col min="3" max="3" width="7.140625" style="14" customWidth="1"/>
    <col min="4" max="4" width="37.7109375" style="1" customWidth="1"/>
    <col min="5" max="6" width="14.7109375" style="1" customWidth="1"/>
    <col min="7" max="7" width="2.28515625" style="1" customWidth="1"/>
    <col min="8" max="9" width="10.85546875" style="1"/>
    <col min="10" max="10" width="43.7109375" style="1" customWidth="1"/>
    <col min="11" max="16384" width="10.85546875" style="1"/>
  </cols>
  <sheetData>
    <row r="1" spans="2:8" s="9" customFormat="1" ht="9.75" customHeight="1" x14ac:dyDescent="0.25">
      <c r="B1" s="80"/>
    </row>
    <row r="2" spans="2:8" s="8" customFormat="1" ht="37.5" customHeight="1" x14ac:dyDescent="0.25">
      <c r="B2" s="19" t="s">
        <v>324</v>
      </c>
      <c r="C2" s="16"/>
      <c r="H2" s="130"/>
    </row>
    <row r="3" spans="2:8" ht="18.75" customHeight="1" x14ac:dyDescent="0.25">
      <c r="B3" s="712" t="s">
        <v>13</v>
      </c>
      <c r="C3" s="287" t="s">
        <v>54</v>
      </c>
      <c r="D3" s="712" t="s">
        <v>55</v>
      </c>
      <c r="E3" s="712">
        <v>2018</v>
      </c>
      <c r="F3" s="712">
        <v>2017</v>
      </c>
      <c r="G3" s="2"/>
    </row>
    <row r="4" spans="2:8" ht="18.75" customHeight="1" x14ac:dyDescent="0.25">
      <c r="B4" s="62">
        <v>1</v>
      </c>
      <c r="C4" s="62">
        <v>215</v>
      </c>
      <c r="D4" s="68" t="s">
        <v>325</v>
      </c>
      <c r="E4" s="68"/>
      <c r="F4" s="78"/>
    </row>
    <row r="5" spans="2:8" ht="18.75" customHeight="1" x14ac:dyDescent="0.25">
      <c r="B5" s="62">
        <f>B4+1</f>
        <v>2</v>
      </c>
      <c r="C5" s="62"/>
      <c r="D5" s="68" t="s">
        <v>326</v>
      </c>
      <c r="E5" s="78">
        <v>40667290</v>
      </c>
      <c r="F5" s="78">
        <v>35730526</v>
      </c>
    </row>
    <row r="6" spans="2:8" ht="18.75" customHeight="1" x14ac:dyDescent="0.25">
      <c r="B6" s="62">
        <f t="shared" ref="B6:B16" si="0">B5+1</f>
        <v>3</v>
      </c>
      <c r="C6" s="62"/>
      <c r="D6" s="68" t="s">
        <v>327</v>
      </c>
      <c r="E6" s="78"/>
      <c r="F6" s="78"/>
    </row>
    <row r="7" spans="2:8" ht="18.75" customHeight="1" x14ac:dyDescent="0.25">
      <c r="B7" s="62">
        <f t="shared" si="0"/>
        <v>4</v>
      </c>
      <c r="C7" s="62"/>
      <c r="D7" s="68" t="s">
        <v>328</v>
      </c>
      <c r="E7" s="78"/>
      <c r="F7" s="78"/>
    </row>
    <row r="8" spans="2:8" ht="18.75" customHeight="1" x14ac:dyDescent="0.25">
      <c r="B8" s="62">
        <f t="shared" si="0"/>
        <v>5</v>
      </c>
      <c r="C8" s="62"/>
      <c r="D8" s="68" t="s">
        <v>329</v>
      </c>
      <c r="E8" s="78"/>
      <c r="F8" s="78"/>
    </row>
    <row r="9" spans="2:8" ht="18.75" customHeight="1" x14ac:dyDescent="0.25">
      <c r="B9" s="62">
        <f t="shared" si="0"/>
        <v>6</v>
      </c>
      <c r="C9" s="62"/>
      <c r="D9" s="68" t="s">
        <v>330</v>
      </c>
      <c r="E9" s="78"/>
      <c r="F9" s="78"/>
    </row>
    <row r="10" spans="2:8" ht="18.75" customHeight="1" x14ac:dyDescent="0.25">
      <c r="B10" s="62">
        <f t="shared" si="0"/>
        <v>7</v>
      </c>
      <c r="C10" s="62"/>
      <c r="D10" s="68" t="s">
        <v>331</v>
      </c>
      <c r="E10" s="78">
        <v>13732338</v>
      </c>
      <c r="F10" s="78">
        <v>13254808</v>
      </c>
    </row>
    <row r="11" spans="2:8" ht="18.75" customHeight="1" x14ac:dyDescent="0.25">
      <c r="B11" s="62">
        <f t="shared" si="0"/>
        <v>8</v>
      </c>
      <c r="C11" s="62"/>
      <c r="D11" s="68" t="s">
        <v>332</v>
      </c>
      <c r="E11" s="78">
        <v>54399628</v>
      </c>
      <c r="F11" s="78">
        <f>SUM(F5:F10)</f>
        <v>48985334</v>
      </c>
    </row>
    <row r="12" spans="2:8" ht="18.75" customHeight="1" x14ac:dyDescent="0.25">
      <c r="B12" s="62">
        <f t="shared" si="0"/>
        <v>9</v>
      </c>
      <c r="C12" s="62"/>
      <c r="D12" s="68"/>
      <c r="E12" s="78"/>
      <c r="F12" s="78"/>
    </row>
    <row r="13" spans="2:8" ht="18.75" customHeight="1" x14ac:dyDescent="0.25">
      <c r="B13" s="62">
        <f t="shared" si="0"/>
        <v>10</v>
      </c>
      <c r="C13" s="62">
        <v>214</v>
      </c>
      <c r="D13" s="68" t="s">
        <v>333</v>
      </c>
      <c r="E13" s="78"/>
      <c r="F13" s="78"/>
    </row>
    <row r="14" spans="2:8" ht="18.75" customHeight="1" x14ac:dyDescent="0.25">
      <c r="B14" s="62">
        <f t="shared" si="0"/>
        <v>11</v>
      </c>
      <c r="C14" s="69"/>
      <c r="D14" s="68" t="s">
        <v>334</v>
      </c>
      <c r="E14" s="78">
        <v>-8689651</v>
      </c>
      <c r="F14" s="78">
        <v>-8318044</v>
      </c>
    </row>
    <row r="15" spans="2:8" ht="18.75" customHeight="1" x14ac:dyDescent="0.25">
      <c r="B15" s="62">
        <f t="shared" si="0"/>
        <v>12</v>
      </c>
      <c r="C15" s="69"/>
      <c r="D15" s="68"/>
      <c r="E15" s="78"/>
      <c r="F15" s="78"/>
    </row>
    <row r="16" spans="2:8" ht="18.75" customHeight="1" x14ac:dyDescent="0.25">
      <c r="B16" s="62">
        <f t="shared" si="0"/>
        <v>13</v>
      </c>
      <c r="C16" s="69"/>
      <c r="D16" s="68" t="s">
        <v>335</v>
      </c>
      <c r="E16" s="78">
        <f>E11+E14</f>
        <v>45709977</v>
      </c>
      <c r="F16" s="78">
        <f>F11+F14</f>
        <v>40667290</v>
      </c>
    </row>
    <row r="17" spans="2:6" ht="18.75" customHeight="1" x14ac:dyDescent="0.25">
      <c r="C17" s="1"/>
    </row>
    <row r="18" spans="2:6" ht="18.75" customHeight="1" x14ac:dyDescent="0.25">
      <c r="B18" s="1" t="s">
        <v>336</v>
      </c>
      <c r="C18" s="1"/>
      <c r="F18" s="1" t="s">
        <v>12</v>
      </c>
    </row>
    <row r="19" spans="2:6" ht="18.75" customHeight="1" x14ac:dyDescent="0.25">
      <c r="B19" s="1" t="s">
        <v>337</v>
      </c>
    </row>
    <row r="20" spans="2:6" ht="18.75" customHeight="1" x14ac:dyDescent="0.25"/>
    <row r="21" spans="2:6" ht="18.75" customHeight="1" x14ac:dyDescent="0.25"/>
    <row r="22" spans="2:6" ht="18.75" customHeight="1" x14ac:dyDescent="0.25"/>
    <row r="23" spans="2:6" ht="18.75" customHeight="1" x14ac:dyDescent="0.25"/>
    <row r="24" spans="2:6" ht="18.75" customHeight="1" x14ac:dyDescent="0.25"/>
    <row r="25" spans="2:6" ht="18.75" customHeight="1" x14ac:dyDescent="0.25"/>
    <row r="26" spans="2:6" ht="18.75" customHeight="1" x14ac:dyDescent="0.25"/>
    <row r="27" spans="2:6" ht="18.75" customHeight="1" x14ac:dyDescent="0.25"/>
    <row r="28" spans="2:6" ht="18.75" customHeight="1" x14ac:dyDescent="0.25"/>
    <row r="29" spans="2:6" ht="18.75" customHeight="1" x14ac:dyDescent="0.25"/>
    <row r="30" spans="2:6" ht="18.75" customHeight="1" x14ac:dyDescent="0.25"/>
    <row r="31" spans="2:6" ht="18.75" customHeight="1" x14ac:dyDescent="0.25"/>
    <row r="32" spans="2:6" ht="18.75" customHeight="1" x14ac:dyDescent="0.25"/>
    <row r="33" ht="18.75" customHeight="1" x14ac:dyDescent="0.25"/>
    <row r="34" ht="18.75" customHeight="1" x14ac:dyDescent="0.25"/>
    <row r="35" ht="18.75" customHeight="1" x14ac:dyDescent="0.25"/>
    <row r="36" ht="18.75" customHeight="1" x14ac:dyDescent="0.25"/>
    <row r="37" ht="18.75" customHeight="1" x14ac:dyDescent="0.25"/>
    <row r="38" ht="18.75" customHeight="1" x14ac:dyDescent="0.25"/>
    <row r="39" ht="18.75" customHeight="1" x14ac:dyDescent="0.25"/>
    <row r="40" ht="18.75" customHeight="1" x14ac:dyDescent="0.25"/>
    <row r="41" ht="18.75" customHeight="1" x14ac:dyDescent="0.25"/>
    <row r="42" ht="18.75" customHeight="1" x14ac:dyDescent="0.25"/>
    <row r="43" ht="18.75" customHeight="1" x14ac:dyDescent="0.25"/>
    <row r="44" ht="18.75" customHeight="1" x14ac:dyDescent="0.25"/>
    <row r="45" ht="18.75" customHeight="1" x14ac:dyDescent="0.25"/>
    <row r="46" ht="18.75" customHeight="1" x14ac:dyDescent="0.25"/>
    <row r="47" ht="18.75" customHeight="1" x14ac:dyDescent="0.25"/>
    <row r="48" ht="18.75" customHeight="1" x14ac:dyDescent="0.25"/>
  </sheetData>
  <phoneticPr fontId="13" type="noConversion"/>
  <pageMargins left="0.75" right="0.75" top="1" bottom="1" header="0.5" footer="0.5"/>
  <pageSetup orientation="portrait" horizontalDpi="4294967292" verticalDpi="429496729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F2F2"/>
  </sheetPr>
  <dimension ref="A1:K57"/>
  <sheetViews>
    <sheetView showGridLines="0" workbookViewId="0"/>
  </sheetViews>
  <sheetFormatPr defaultColWidth="42" defaultRowHeight="15" x14ac:dyDescent="0.25"/>
  <cols>
    <col min="1" max="1" width="2.7109375" style="5" customWidth="1"/>
    <col min="2" max="3" width="6.7109375" style="5" customWidth="1"/>
    <col min="4" max="4" width="36.7109375" style="100" customWidth="1"/>
    <col min="5" max="10" width="13.42578125" style="100" customWidth="1"/>
    <col min="11" max="11" width="18.42578125" style="100" customWidth="1"/>
    <col min="12" max="16384" width="42" style="100"/>
  </cols>
  <sheetData>
    <row r="1" spans="1:11" s="9" customFormat="1" ht="9.75" customHeight="1" x14ac:dyDescent="0.25">
      <c r="B1" s="80"/>
    </row>
    <row r="2" spans="1:11" s="5" customFormat="1" ht="37.5" customHeight="1" x14ac:dyDescent="0.25">
      <c r="B2" s="19" t="s">
        <v>338</v>
      </c>
      <c r="C2" s="19"/>
      <c r="D2" s="19"/>
      <c r="E2" s="101" t="s">
        <v>12</v>
      </c>
      <c r="F2" s="8"/>
      <c r="G2" s="8"/>
    </row>
    <row r="3" spans="1:11" s="187" customFormat="1" ht="39.75" customHeight="1" x14ac:dyDescent="0.25">
      <c r="A3" s="186"/>
      <c r="B3" s="712" t="s">
        <v>13</v>
      </c>
      <c r="C3" s="263" t="s">
        <v>54</v>
      </c>
      <c r="D3" s="258" t="s">
        <v>339</v>
      </c>
      <c r="E3" s="264" t="s">
        <v>340</v>
      </c>
      <c r="F3" s="264" t="s">
        <v>341</v>
      </c>
      <c r="G3" s="264" t="s">
        <v>342</v>
      </c>
      <c r="H3" s="258" t="s">
        <v>343</v>
      </c>
      <c r="I3" s="258" t="s">
        <v>344</v>
      </c>
      <c r="J3" s="258" t="s">
        <v>345</v>
      </c>
    </row>
    <row r="4" spans="1:11" ht="18.75" customHeight="1" x14ac:dyDescent="0.25">
      <c r="B4" s="62">
        <v>1</v>
      </c>
      <c r="C4" s="62">
        <v>221</v>
      </c>
      <c r="D4" s="68" t="s">
        <v>346</v>
      </c>
      <c r="E4" s="62">
        <v>1989</v>
      </c>
      <c r="F4" s="62">
        <v>2019</v>
      </c>
      <c r="G4" s="85">
        <v>6000000</v>
      </c>
      <c r="H4" s="83">
        <v>6000000</v>
      </c>
      <c r="I4" s="147">
        <v>0.1017</v>
      </c>
      <c r="J4" s="83">
        <v>610200</v>
      </c>
    </row>
    <row r="5" spans="1:11" ht="18.75" customHeight="1" x14ac:dyDescent="0.25">
      <c r="B5" s="62">
        <f t="shared" ref="B5:B26" si="0">B4+1</f>
        <v>2</v>
      </c>
      <c r="C5" s="62">
        <v>221</v>
      </c>
      <c r="D5" s="403" t="s">
        <v>347</v>
      </c>
      <c r="E5" s="62">
        <v>1989</v>
      </c>
      <c r="F5" s="62">
        <v>2019</v>
      </c>
      <c r="G5" s="85">
        <v>5000000</v>
      </c>
      <c r="H5" s="83">
        <v>5000000</v>
      </c>
      <c r="I5" s="147">
        <v>9.6000000000000002E-2</v>
      </c>
      <c r="J5" s="83">
        <v>480000</v>
      </c>
    </row>
    <row r="6" spans="1:11" ht="18.75" customHeight="1" x14ac:dyDescent="0.25">
      <c r="B6" s="62">
        <f t="shared" si="0"/>
        <v>3</v>
      </c>
      <c r="C6" s="62">
        <v>221</v>
      </c>
      <c r="D6" s="403" t="s">
        <v>348</v>
      </c>
      <c r="E6" s="62">
        <v>1990</v>
      </c>
      <c r="F6" s="62">
        <v>2020</v>
      </c>
      <c r="G6" s="85">
        <v>6500000</v>
      </c>
      <c r="H6" s="83">
        <v>6500000</v>
      </c>
      <c r="I6" s="147">
        <v>0.10050000000000001</v>
      </c>
      <c r="J6" s="83">
        <v>653250</v>
      </c>
    </row>
    <row r="7" spans="1:11" ht="18.75" customHeight="1" x14ac:dyDescent="0.25">
      <c r="B7" s="62">
        <f t="shared" si="0"/>
        <v>4</v>
      </c>
      <c r="C7" s="62">
        <v>221</v>
      </c>
      <c r="D7" s="68" t="s">
        <v>349</v>
      </c>
      <c r="E7" s="62">
        <v>1993</v>
      </c>
      <c r="F7" s="62">
        <v>2022</v>
      </c>
      <c r="G7" s="85">
        <v>7500000</v>
      </c>
      <c r="H7" s="83">
        <v>7500000</v>
      </c>
      <c r="I7" s="147">
        <v>8.43E-2</v>
      </c>
      <c r="J7" s="83">
        <v>632250</v>
      </c>
    </row>
    <row r="8" spans="1:11" ht="18.75" customHeight="1" x14ac:dyDescent="0.25">
      <c r="B8" s="62">
        <f t="shared" si="0"/>
        <v>5</v>
      </c>
      <c r="C8" s="62">
        <v>221</v>
      </c>
      <c r="D8" s="68" t="s">
        <v>350</v>
      </c>
      <c r="E8" s="62">
        <v>2006</v>
      </c>
      <c r="F8" s="62">
        <v>2036</v>
      </c>
      <c r="G8" s="85">
        <v>10500000</v>
      </c>
      <c r="H8" s="83">
        <v>10500000</v>
      </c>
      <c r="I8" s="147">
        <v>4.7500000000000001E-2</v>
      </c>
      <c r="J8" s="83">
        <v>498750</v>
      </c>
    </row>
    <row r="9" spans="1:11" ht="18.75" customHeight="1" x14ac:dyDescent="0.25">
      <c r="B9" s="62">
        <f t="shared" si="0"/>
        <v>6</v>
      </c>
      <c r="C9" s="62">
        <v>221</v>
      </c>
      <c r="D9" s="68" t="s">
        <v>351</v>
      </c>
      <c r="E9" s="62">
        <v>2008</v>
      </c>
      <c r="F9" s="62">
        <v>2029</v>
      </c>
      <c r="G9" s="85">
        <v>12000000</v>
      </c>
      <c r="H9" s="83">
        <v>12000000</v>
      </c>
      <c r="I9" s="147">
        <v>3.4299999999999997E-2</v>
      </c>
      <c r="J9" s="83">
        <v>411337</v>
      </c>
    </row>
    <row r="10" spans="1:11" ht="18.75" customHeight="1" x14ac:dyDescent="0.25">
      <c r="B10" s="62">
        <f t="shared" si="0"/>
        <v>7</v>
      </c>
      <c r="C10" s="62">
        <v>221</v>
      </c>
      <c r="D10" s="68" t="s">
        <v>352</v>
      </c>
      <c r="E10" s="62">
        <v>2010</v>
      </c>
      <c r="F10" s="62">
        <v>2040</v>
      </c>
      <c r="G10" s="85">
        <v>15000000</v>
      </c>
      <c r="H10" s="83">
        <v>15000000</v>
      </c>
      <c r="I10" s="147">
        <v>0.05</v>
      </c>
      <c r="J10" s="83">
        <v>750000</v>
      </c>
    </row>
    <row r="11" spans="1:11" ht="18.75" customHeight="1" x14ac:dyDescent="0.25">
      <c r="B11" s="62">
        <f t="shared" si="0"/>
        <v>8</v>
      </c>
      <c r="C11" s="62">
        <v>221</v>
      </c>
      <c r="D11" s="83" t="s">
        <v>353</v>
      </c>
      <c r="E11" s="62">
        <v>2014</v>
      </c>
      <c r="F11" s="62">
        <v>2038</v>
      </c>
      <c r="G11" s="85">
        <v>14870000</v>
      </c>
      <c r="H11" s="83">
        <v>14870000</v>
      </c>
      <c r="I11" s="147">
        <v>4.4999999999999998E-2</v>
      </c>
      <c r="J11" s="83">
        <v>669150</v>
      </c>
    </row>
    <row r="12" spans="1:11" ht="18.75" customHeight="1" x14ac:dyDescent="0.25">
      <c r="B12" s="62">
        <f t="shared" si="0"/>
        <v>9</v>
      </c>
      <c r="C12" s="62">
        <v>221</v>
      </c>
      <c r="D12" s="68" t="s">
        <v>354</v>
      </c>
      <c r="E12" s="62">
        <v>2015</v>
      </c>
      <c r="F12" s="62">
        <v>2045</v>
      </c>
      <c r="G12" s="85">
        <v>10000000</v>
      </c>
      <c r="H12" s="83">
        <v>10000000</v>
      </c>
      <c r="I12" s="147">
        <v>4.2500000000000003E-2</v>
      </c>
      <c r="J12" s="83">
        <v>425044</v>
      </c>
    </row>
    <row r="13" spans="1:11" ht="18.75" customHeight="1" x14ac:dyDescent="0.25">
      <c r="B13" s="62">
        <f t="shared" si="0"/>
        <v>10</v>
      </c>
      <c r="C13" s="62"/>
      <c r="D13" s="204"/>
      <c r="E13" s="62"/>
      <c r="F13" s="62"/>
      <c r="G13" s="85">
        <f>SUM(G4:G12)</f>
        <v>87370000</v>
      </c>
      <c r="H13" s="517">
        <f>SUM(H4:H12)</f>
        <v>87370000</v>
      </c>
      <c r="I13" s="68"/>
      <c r="J13" s="68"/>
    </row>
    <row r="14" spans="1:11" ht="18.75" customHeight="1" x14ac:dyDescent="0.25">
      <c r="B14" s="62">
        <f t="shared" si="0"/>
        <v>11</v>
      </c>
      <c r="C14" s="62"/>
      <c r="D14" s="68" t="s">
        <v>355</v>
      </c>
      <c r="E14" s="62">
        <v>2008</v>
      </c>
      <c r="F14" s="518" t="s">
        <v>356</v>
      </c>
      <c r="G14" s="85">
        <v>41500000</v>
      </c>
      <c r="H14" s="83">
        <v>5389374</v>
      </c>
      <c r="I14" s="519" t="s">
        <v>357</v>
      </c>
      <c r="J14" s="83">
        <v>233908</v>
      </c>
    </row>
    <row r="15" spans="1:11" ht="18.75" customHeight="1" x14ac:dyDescent="0.25">
      <c r="B15" s="62"/>
      <c r="C15" s="62"/>
      <c r="D15" s="68"/>
      <c r="E15" s="62"/>
      <c r="F15" s="62"/>
      <c r="G15" s="85"/>
      <c r="H15" s="83"/>
      <c r="I15" s="519"/>
      <c r="J15" s="83"/>
    </row>
    <row r="16" spans="1:11" ht="18.75" customHeight="1" x14ac:dyDescent="0.25">
      <c r="B16" s="62">
        <f>B14+1</f>
        <v>12</v>
      </c>
      <c r="C16" s="62">
        <v>224</v>
      </c>
      <c r="D16" s="68" t="s">
        <v>358</v>
      </c>
      <c r="E16" s="62"/>
      <c r="F16" s="62"/>
      <c r="G16" s="85">
        <v>128880000</v>
      </c>
      <c r="H16" s="83">
        <v>95877719</v>
      </c>
      <c r="I16" s="68"/>
      <c r="J16" s="83">
        <v>5363889</v>
      </c>
      <c r="K16" s="188"/>
    </row>
    <row r="17" spans="2:11" ht="18.75" customHeight="1" x14ac:dyDescent="0.25">
      <c r="B17" s="77">
        <f t="shared" si="0"/>
        <v>13</v>
      </c>
      <c r="C17" s="77"/>
      <c r="D17" s="209"/>
      <c r="E17" s="77"/>
      <c r="F17" s="77"/>
      <c r="G17" s="520"/>
      <c r="H17" s="209"/>
      <c r="I17" s="209"/>
      <c r="J17" s="209"/>
    </row>
    <row r="18" spans="2:11" ht="18.75" customHeight="1" x14ac:dyDescent="0.25">
      <c r="B18" s="62">
        <f t="shared" si="0"/>
        <v>14</v>
      </c>
      <c r="C18" s="62">
        <v>224</v>
      </c>
      <c r="D18" s="68" t="s">
        <v>359</v>
      </c>
      <c r="E18" s="62">
        <v>1999</v>
      </c>
      <c r="F18" s="62">
        <v>2019</v>
      </c>
      <c r="G18" s="85">
        <v>800000</v>
      </c>
      <c r="H18" s="83"/>
      <c r="I18" s="147">
        <v>0.01</v>
      </c>
      <c r="J18" s="68">
        <v>982</v>
      </c>
    </row>
    <row r="19" spans="2:11" ht="18.75" customHeight="1" x14ac:dyDescent="0.25">
      <c r="B19" s="62">
        <v>15</v>
      </c>
      <c r="C19" s="77"/>
      <c r="D19" s="209"/>
      <c r="E19" s="77"/>
      <c r="F19" s="77"/>
      <c r="G19" s="520"/>
      <c r="H19" s="379"/>
      <c r="I19" s="521"/>
      <c r="J19" s="209"/>
    </row>
    <row r="20" spans="2:11" ht="18.75" customHeight="1" x14ac:dyDescent="0.25">
      <c r="B20" s="62">
        <v>16</v>
      </c>
      <c r="C20" s="77"/>
      <c r="D20" s="209" t="s">
        <v>360</v>
      </c>
      <c r="E20" s="77"/>
      <c r="F20" s="77"/>
      <c r="G20" s="520">
        <f>SUM(G16:G18)</f>
        <v>129680000</v>
      </c>
      <c r="H20" s="379">
        <f>SUM(H16+H18)</f>
        <v>95877719</v>
      </c>
      <c r="I20" s="521"/>
      <c r="J20" s="209"/>
    </row>
    <row r="21" spans="2:11" ht="18.75" customHeight="1" x14ac:dyDescent="0.25">
      <c r="B21" s="62">
        <v>17</v>
      </c>
      <c r="C21" s="522"/>
      <c r="D21" s="209"/>
      <c r="E21" s="440"/>
      <c r="F21" s="440"/>
      <c r="G21" s="209"/>
      <c r="H21" s="209"/>
      <c r="I21" s="209"/>
      <c r="J21" s="209"/>
    </row>
    <row r="22" spans="2:11" ht="18.75" customHeight="1" x14ac:dyDescent="0.25">
      <c r="B22" s="62">
        <f t="shared" si="0"/>
        <v>18</v>
      </c>
      <c r="C22" s="523"/>
      <c r="D22" s="68" t="s">
        <v>361</v>
      </c>
      <c r="E22" s="440"/>
      <c r="F22" s="440"/>
      <c r="G22" s="520">
        <v>129680000</v>
      </c>
      <c r="H22" s="524">
        <v>95907597</v>
      </c>
      <c r="I22" s="209"/>
      <c r="J22" s="524">
        <f>J16+J18</f>
        <v>5364871</v>
      </c>
    </row>
    <row r="23" spans="2:11" ht="18.75" customHeight="1" x14ac:dyDescent="0.25">
      <c r="B23" s="62">
        <f t="shared" si="0"/>
        <v>19</v>
      </c>
      <c r="C23" s="523"/>
      <c r="D23" s="218"/>
      <c r="E23" s="44"/>
      <c r="F23" s="44"/>
      <c r="G23" s="85"/>
      <c r="H23" s="517"/>
      <c r="I23" s="68"/>
      <c r="J23" s="517"/>
    </row>
    <row r="24" spans="2:11" ht="18.75" customHeight="1" x14ac:dyDescent="0.25">
      <c r="B24" s="62">
        <f t="shared" si="0"/>
        <v>20</v>
      </c>
      <c r="C24" s="523"/>
      <c r="D24" s="218" t="s">
        <v>362</v>
      </c>
      <c r="E24" s="44"/>
      <c r="F24" s="44"/>
      <c r="G24" s="85">
        <v>128998327</v>
      </c>
      <c r="H24" s="517">
        <v>87444324</v>
      </c>
      <c r="I24" s="68"/>
      <c r="J24" s="517">
        <v>5120057</v>
      </c>
    </row>
    <row r="25" spans="2:11" ht="18.75" customHeight="1" thickBot="1" x14ac:dyDescent="0.3">
      <c r="B25" s="62">
        <f t="shared" si="0"/>
        <v>21</v>
      </c>
      <c r="C25" s="523"/>
      <c r="D25" s="218"/>
      <c r="E25" s="44"/>
      <c r="F25" s="44"/>
      <c r="G25" s="85"/>
      <c r="H25" s="517"/>
      <c r="I25" s="68"/>
      <c r="J25" s="524"/>
    </row>
    <row r="26" spans="2:11" ht="18.75" customHeight="1" thickBot="1" x14ac:dyDescent="0.3">
      <c r="B26" s="62">
        <f t="shared" si="0"/>
        <v>22</v>
      </c>
      <c r="C26" s="523"/>
      <c r="D26" s="218" t="s">
        <v>363</v>
      </c>
      <c r="E26" s="44">
        <v>2018</v>
      </c>
      <c r="F26" s="515"/>
      <c r="G26" s="515"/>
      <c r="H26" s="515"/>
      <c r="I26" s="515"/>
      <c r="J26" s="423">
        <f>J22/((H22+H20)/2)</f>
        <v>5.5946629407227402E-2</v>
      </c>
      <c r="K26" s="190"/>
    </row>
    <row r="27" spans="2:11" ht="18.75" customHeight="1" x14ac:dyDescent="0.25">
      <c r="G27" s="100" t="s">
        <v>12</v>
      </c>
      <c r="J27" s="100" t="s">
        <v>12</v>
      </c>
    </row>
    <row r="28" spans="2:11" ht="18.75" customHeight="1" x14ac:dyDescent="0.25">
      <c r="B28" s="100" t="s">
        <v>364</v>
      </c>
      <c r="F28" s="100" t="s">
        <v>12</v>
      </c>
      <c r="I28" s="191" t="s">
        <v>12</v>
      </c>
    </row>
    <row r="29" spans="2:11" ht="18.75" customHeight="1" x14ac:dyDescent="0.25">
      <c r="D29" s="155"/>
      <c r="F29" s="155"/>
    </row>
    <row r="30" spans="2:11" ht="18.75" customHeight="1" x14ac:dyDescent="0.25">
      <c r="C30" s="153" t="s">
        <v>12</v>
      </c>
    </row>
    <row r="31" spans="2:11" ht="18.75" customHeight="1" x14ac:dyDescent="0.25"/>
    <row r="32" spans="2:11" ht="18.75" customHeight="1" x14ac:dyDescent="0.25"/>
    <row r="33" spans="4:6" ht="18.75" customHeight="1" x14ac:dyDescent="0.25">
      <c r="D33" s="155"/>
      <c r="F33" s="155"/>
    </row>
    <row r="34" spans="4:6" ht="18.75" customHeight="1" x14ac:dyDescent="0.25"/>
    <row r="35" spans="4:6" ht="18.75" customHeight="1" x14ac:dyDescent="0.25">
      <c r="D35" s="155"/>
    </row>
    <row r="36" spans="4:6" ht="18.75" customHeight="1" x14ac:dyDescent="0.25"/>
    <row r="37" spans="4:6" ht="18.75" customHeight="1" x14ac:dyDescent="0.25"/>
    <row r="38" spans="4:6" ht="18.75" customHeight="1" x14ac:dyDescent="0.25"/>
    <row r="39" spans="4:6" ht="18.75" customHeight="1" x14ac:dyDescent="0.25">
      <c r="D39" s="155"/>
      <c r="E39" s="155"/>
      <c r="F39" s="155"/>
    </row>
    <row r="40" spans="4:6" ht="18.75" customHeight="1" x14ac:dyDescent="0.25"/>
    <row r="41" spans="4:6" ht="18.75" customHeight="1" x14ac:dyDescent="0.25">
      <c r="D41" s="155"/>
      <c r="E41" s="155"/>
      <c r="F41" s="155"/>
    </row>
    <row r="42" spans="4:6" ht="18.75" customHeight="1" x14ac:dyDescent="0.25"/>
    <row r="43" spans="4:6" ht="18.75" customHeight="1" x14ac:dyDescent="0.25">
      <c r="D43" s="155"/>
      <c r="E43" s="155"/>
      <c r="F43" s="155"/>
    </row>
    <row r="45" spans="4:6" x14ac:dyDescent="0.25">
      <c r="E45" s="155"/>
      <c r="F45" s="155"/>
    </row>
    <row r="47" spans="4:6" x14ac:dyDescent="0.25">
      <c r="D47" s="155"/>
      <c r="E47" s="155"/>
      <c r="F47" s="155"/>
    </row>
    <row r="49" spans="4:6" x14ac:dyDescent="0.25">
      <c r="D49" s="155"/>
      <c r="E49" s="155"/>
      <c r="F49" s="155"/>
    </row>
    <row r="51" spans="4:6" x14ac:dyDescent="0.25">
      <c r="E51" s="155"/>
      <c r="F51" s="155"/>
    </row>
    <row r="55" spans="4:6" x14ac:dyDescent="0.25">
      <c r="D55" s="155"/>
      <c r="E55" s="155"/>
      <c r="F55" s="155"/>
    </row>
    <row r="57" spans="4:6" x14ac:dyDescent="0.25">
      <c r="D57" s="192"/>
      <c r="E57" s="192"/>
      <c r="F57" s="192"/>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8A59A-1AE3-4807-A96D-F78D05D22D0B}">
  <sheetPr>
    <tabColor rgb="FFD6DCE4"/>
  </sheetPr>
  <dimension ref="B1:H35"/>
  <sheetViews>
    <sheetView showGridLines="0" topLeftCell="A3" zoomScale="125" zoomScaleNormal="125" zoomScalePageLayoutView="125" workbookViewId="0">
      <selection activeCell="B29" sqref="B29:B32"/>
    </sheetView>
  </sheetViews>
  <sheetFormatPr defaultColWidth="10.85546875" defaultRowHeight="12.75" x14ac:dyDescent="0.25"/>
  <cols>
    <col min="1" max="1" width="2.7109375" style="1" customWidth="1"/>
    <col min="2" max="3" width="6.7109375" style="1" customWidth="1"/>
    <col min="4" max="4" width="7.42578125" style="1" customWidth="1"/>
    <col min="5" max="5" width="42.7109375" style="1" customWidth="1"/>
    <col min="6" max="6" width="16.7109375" style="1" customWidth="1"/>
    <col min="7" max="8" width="14.7109375" style="1" hidden="1" customWidth="1"/>
    <col min="9" max="16384" width="10.85546875" style="1"/>
  </cols>
  <sheetData>
    <row r="1" spans="2:8" s="9" customFormat="1" ht="9.75" customHeight="1" x14ac:dyDescent="0.25">
      <c r="B1" s="80"/>
    </row>
    <row r="2" spans="2:8" s="8" customFormat="1" ht="29.1" customHeight="1" x14ac:dyDescent="0.25">
      <c r="B2" s="19" t="s">
        <v>365</v>
      </c>
      <c r="C2" s="16"/>
      <c r="D2" s="36"/>
      <c r="G2" s="35"/>
    </row>
    <row r="3" spans="2:8" ht="14.25" customHeight="1" x14ac:dyDescent="0.25">
      <c r="B3" s="712" t="s">
        <v>13</v>
      </c>
      <c r="C3" s="712" t="s">
        <v>188</v>
      </c>
      <c r="D3" s="712" t="s">
        <v>54</v>
      </c>
      <c r="E3" s="287" t="s">
        <v>55</v>
      </c>
      <c r="F3" s="712">
        <v>2018</v>
      </c>
      <c r="G3" s="712">
        <v>2017</v>
      </c>
      <c r="H3" s="712" t="s">
        <v>366</v>
      </c>
    </row>
    <row r="4" spans="2:8" ht="14.25" customHeight="1" x14ac:dyDescent="0.25">
      <c r="B4" s="62">
        <v>1</v>
      </c>
      <c r="C4" s="62">
        <v>200</v>
      </c>
      <c r="D4" s="69">
        <v>101</v>
      </c>
      <c r="E4" s="616" t="s">
        <v>367</v>
      </c>
      <c r="F4" s="276">
        <f>'5-Plant'!E62</f>
        <v>371879339</v>
      </c>
      <c r="G4" s="276">
        <f>'5-Plant'!I62</f>
        <v>348669833</v>
      </c>
      <c r="H4" s="276">
        <f>AVERAGE(F4:G4)</f>
        <v>360274586</v>
      </c>
    </row>
    <row r="5" spans="2:8" ht="14.25" customHeight="1" x14ac:dyDescent="0.25">
      <c r="B5" s="62">
        <f>B4+1</f>
        <v>2</v>
      </c>
      <c r="C5" s="62" t="s">
        <v>12</v>
      </c>
      <c r="D5" s="69" t="s">
        <v>12</v>
      </c>
      <c r="E5" s="616"/>
      <c r="F5" s="617"/>
      <c r="G5" s="276"/>
      <c r="H5" s="276"/>
    </row>
    <row r="6" spans="2:8" ht="14.25" customHeight="1" x14ac:dyDescent="0.25">
      <c r="B6" s="62">
        <f t="shared" ref="B6:B32" si="0">B5+1</f>
        <v>3</v>
      </c>
      <c r="C6" s="62">
        <v>205</v>
      </c>
      <c r="D6" s="69">
        <v>108.1</v>
      </c>
      <c r="E6" s="616" t="s">
        <v>368</v>
      </c>
      <c r="F6" s="312" t="s">
        <v>369</v>
      </c>
      <c r="G6" s="276">
        <f>'9-Assets'!G12</f>
        <v>-72240231</v>
      </c>
      <c r="H6" s="276">
        <f>AVERAGE(F6:G6)</f>
        <v>-72240231</v>
      </c>
    </row>
    <row r="7" spans="2:8" ht="14.25" customHeight="1" x14ac:dyDescent="0.25">
      <c r="B7" s="62">
        <f t="shared" si="0"/>
        <v>4</v>
      </c>
      <c r="C7" s="62"/>
      <c r="D7" s="69"/>
      <c r="E7" s="616" t="s">
        <v>370</v>
      </c>
      <c r="F7" s="312" t="s">
        <v>369</v>
      </c>
      <c r="G7" s="276">
        <f>SUM(G4:G6)</f>
        <v>276429602</v>
      </c>
      <c r="H7" s="276">
        <f>AVERAGE(F7:G7)</f>
        <v>276429602</v>
      </c>
    </row>
    <row r="8" spans="2:8" ht="14.25" customHeight="1" x14ac:dyDescent="0.25">
      <c r="B8" s="62">
        <f t="shared" si="0"/>
        <v>5</v>
      </c>
      <c r="C8" s="62"/>
      <c r="D8" s="69"/>
      <c r="E8" s="616"/>
      <c r="F8" s="409"/>
      <c r="G8" s="276"/>
      <c r="H8" s="276"/>
    </row>
    <row r="9" spans="2:8" ht="14.25" customHeight="1" x14ac:dyDescent="0.25">
      <c r="B9" s="62">
        <f t="shared" si="0"/>
        <v>6</v>
      </c>
      <c r="C9" s="62"/>
      <c r="D9" s="69"/>
      <c r="E9" s="45" t="s">
        <v>371</v>
      </c>
      <c r="F9" s="336"/>
      <c r="G9" s="291"/>
      <c r="H9" s="276"/>
    </row>
    <row r="10" spans="2:8" ht="14.25" customHeight="1" x14ac:dyDescent="0.25">
      <c r="B10" s="62">
        <f t="shared" si="0"/>
        <v>7</v>
      </c>
      <c r="C10" s="62">
        <v>200</v>
      </c>
      <c r="D10" s="69">
        <v>114</v>
      </c>
      <c r="E10" s="78" t="s">
        <v>372</v>
      </c>
      <c r="F10" s="312" t="s">
        <v>369</v>
      </c>
      <c r="G10" s="291">
        <v>-3360459</v>
      </c>
      <c r="H10" s="276">
        <f>AVERAGE(F10:G10)</f>
        <v>-3360459</v>
      </c>
    </row>
    <row r="11" spans="2:8" ht="14.25" customHeight="1" x14ac:dyDescent="0.25">
      <c r="B11" s="62">
        <f t="shared" si="0"/>
        <v>8</v>
      </c>
      <c r="C11" s="62">
        <v>200</v>
      </c>
      <c r="D11" s="69">
        <v>115</v>
      </c>
      <c r="E11" s="45" t="s">
        <v>373</v>
      </c>
      <c r="F11" s="312" t="s">
        <v>369</v>
      </c>
      <c r="G11" s="274">
        <v>766397</v>
      </c>
      <c r="H11" s="276">
        <f>AVERAGE(F11:G11)</f>
        <v>766397</v>
      </c>
    </row>
    <row r="12" spans="2:8" ht="14.25" customHeight="1" x14ac:dyDescent="0.25">
      <c r="B12" s="62">
        <f t="shared" si="0"/>
        <v>9</v>
      </c>
      <c r="C12" s="62"/>
      <c r="D12" s="69"/>
      <c r="E12" s="618" t="s">
        <v>374</v>
      </c>
      <c r="F12" s="312" t="s">
        <v>369</v>
      </c>
      <c r="G12" s="276">
        <f>SUM(G7:G11)</f>
        <v>273835540</v>
      </c>
      <c r="H12" s="276">
        <f>AVERAGE(F12:G12)</f>
        <v>273835540</v>
      </c>
    </row>
    <row r="13" spans="2:8" ht="14.25" customHeight="1" x14ac:dyDescent="0.25">
      <c r="B13" s="62">
        <f t="shared" si="0"/>
        <v>10</v>
      </c>
      <c r="C13" s="62"/>
      <c r="D13" s="69"/>
      <c r="E13" s="618"/>
      <c r="F13" s="312"/>
      <c r="G13" s="276"/>
      <c r="H13" s="276"/>
    </row>
    <row r="14" spans="2:8" ht="14.25" customHeight="1" x14ac:dyDescent="0.25">
      <c r="B14" s="62">
        <f t="shared" si="0"/>
        <v>11</v>
      </c>
      <c r="C14" s="62"/>
      <c r="D14" s="69"/>
      <c r="E14" s="616" t="s">
        <v>375</v>
      </c>
      <c r="F14" s="312"/>
      <c r="G14" s="276"/>
      <c r="H14" s="276"/>
    </row>
    <row r="15" spans="2:8" ht="14.25" customHeight="1" x14ac:dyDescent="0.25">
      <c r="B15" s="62">
        <f t="shared" si="0"/>
        <v>12</v>
      </c>
      <c r="C15" s="62">
        <v>203</v>
      </c>
      <c r="D15" s="69">
        <v>103</v>
      </c>
      <c r="E15" s="616" t="s">
        <v>376</v>
      </c>
      <c r="F15" s="312" t="s">
        <v>369</v>
      </c>
      <c r="G15" s="276">
        <v>0</v>
      </c>
      <c r="H15" s="276">
        <v>0</v>
      </c>
    </row>
    <row r="16" spans="2:8" ht="14.25" customHeight="1" x14ac:dyDescent="0.25">
      <c r="B16" s="62">
        <f>B19+1</f>
        <v>14</v>
      </c>
      <c r="C16" s="62">
        <v>215</v>
      </c>
      <c r="D16" s="69">
        <v>162</v>
      </c>
      <c r="E16" s="616" t="s">
        <v>377</v>
      </c>
      <c r="F16" s="312" t="s">
        <v>369</v>
      </c>
      <c r="G16" s="276">
        <v>700578</v>
      </c>
      <c r="H16" s="276">
        <f>AVERAGE(F16:G16)</f>
        <v>700578</v>
      </c>
    </row>
    <row r="17" spans="2:8" ht="14.25" customHeight="1" x14ac:dyDescent="0.25">
      <c r="B17" s="62">
        <f t="shared" si="0"/>
        <v>15</v>
      </c>
      <c r="C17" s="62">
        <v>214</v>
      </c>
      <c r="D17" s="69">
        <v>151</v>
      </c>
      <c r="E17" s="616" t="s">
        <v>378</v>
      </c>
      <c r="F17" s="312" t="s">
        <v>369</v>
      </c>
      <c r="G17" s="276">
        <v>905621</v>
      </c>
      <c r="H17" s="276">
        <f>AVERAGE(F17:G17)</f>
        <v>905621</v>
      </c>
    </row>
    <row r="18" spans="2:8" ht="14.25" customHeight="1" x14ac:dyDescent="0.25">
      <c r="B18" s="62">
        <f t="shared" si="0"/>
        <v>16</v>
      </c>
      <c r="C18" s="62">
        <v>200</v>
      </c>
      <c r="D18" s="69">
        <v>131.19999999999999</v>
      </c>
      <c r="E18" s="45" t="s">
        <v>379</v>
      </c>
      <c r="F18" s="312" t="s">
        <v>369</v>
      </c>
      <c r="G18" s="276">
        <f>'15-Income'!G6*1/8</f>
        <v>2098657</v>
      </c>
      <c r="H18" s="276">
        <f>AVERAGE(F18:G18)</f>
        <v>2098657</v>
      </c>
    </row>
    <row r="19" spans="2:8" s="100" customFormat="1" ht="14.25" customHeight="1" x14ac:dyDescent="0.25">
      <c r="B19" s="62">
        <f>B15+1</f>
        <v>13</v>
      </c>
      <c r="C19" s="62">
        <v>200</v>
      </c>
      <c r="D19" s="116">
        <v>186.3</v>
      </c>
      <c r="E19" s="45" t="s">
        <v>380</v>
      </c>
      <c r="F19" s="312" t="s">
        <v>369</v>
      </c>
      <c r="G19" s="276">
        <v>30292810</v>
      </c>
      <c r="H19" s="276">
        <f>AVERAGE(F19:G19)</f>
        <v>30292810</v>
      </c>
    </row>
    <row r="20" spans="2:8" ht="14.25" customHeight="1" x14ac:dyDescent="0.25">
      <c r="B20" s="62">
        <f>B18+1</f>
        <v>17</v>
      </c>
      <c r="C20" s="62"/>
      <c r="D20" s="69"/>
      <c r="E20" s="616" t="s">
        <v>381</v>
      </c>
      <c r="F20" s="312" t="s">
        <v>369</v>
      </c>
      <c r="G20" s="276">
        <f>SUM(G14:G19)</f>
        <v>33997666</v>
      </c>
      <c r="H20" s="276">
        <f>AVERAGE(F20:G20)</f>
        <v>33997666</v>
      </c>
    </row>
    <row r="21" spans="2:8" ht="14.25" customHeight="1" x14ac:dyDescent="0.25">
      <c r="B21" s="62">
        <f t="shared" si="0"/>
        <v>18</v>
      </c>
      <c r="C21" s="62"/>
      <c r="D21" s="69"/>
      <c r="E21" s="616"/>
      <c r="F21" s="409"/>
      <c r="G21" s="276"/>
      <c r="H21" s="276"/>
    </row>
    <row r="22" spans="2:8" ht="14.25" customHeight="1" x14ac:dyDescent="0.25">
      <c r="B22" s="62">
        <f t="shared" si="0"/>
        <v>19</v>
      </c>
      <c r="C22" s="62"/>
      <c r="D22" s="69"/>
      <c r="E22" s="616" t="s">
        <v>382</v>
      </c>
      <c r="F22" s="409"/>
      <c r="G22" s="276"/>
      <c r="H22" s="276"/>
    </row>
    <row r="23" spans="2:8" ht="14.25" customHeight="1" x14ac:dyDescent="0.25">
      <c r="B23" s="62">
        <f t="shared" si="0"/>
        <v>20</v>
      </c>
      <c r="C23" s="62">
        <v>200</v>
      </c>
      <c r="D23" s="69" t="s">
        <v>383</v>
      </c>
      <c r="E23" s="616" t="s">
        <v>384</v>
      </c>
      <c r="F23" s="312" t="s">
        <v>369</v>
      </c>
      <c r="G23" s="276">
        <v>-48371145</v>
      </c>
      <c r="H23" s="276">
        <f>AVERAGE(F23:G23)</f>
        <v>-48371145</v>
      </c>
    </row>
    <row r="24" spans="2:8" s="6" customFormat="1" ht="14.25" customHeight="1" x14ac:dyDescent="0.25">
      <c r="B24" s="115">
        <f t="shared" si="0"/>
        <v>21</v>
      </c>
      <c r="C24" s="115">
        <v>200</v>
      </c>
      <c r="D24" s="116">
        <v>255.1</v>
      </c>
      <c r="E24" s="45" t="s">
        <v>385</v>
      </c>
      <c r="F24" s="312" t="s">
        <v>369</v>
      </c>
      <c r="G24" s="291"/>
      <c r="H24" s="276"/>
    </row>
    <row r="25" spans="2:8" ht="14.25" customHeight="1" x14ac:dyDescent="0.25">
      <c r="B25" s="62">
        <f t="shared" si="0"/>
        <v>22</v>
      </c>
      <c r="C25" s="62">
        <v>200</v>
      </c>
      <c r="D25" s="69" t="s">
        <v>386</v>
      </c>
      <c r="E25" s="616" t="s">
        <v>387</v>
      </c>
      <c r="F25" s="312" t="s">
        <v>369</v>
      </c>
      <c r="G25" s="276">
        <f>-(3776313+34853568)</f>
        <v>-38629881</v>
      </c>
      <c r="H25" s="276">
        <f>AVERAGE(F25:G25)</f>
        <v>-38629881</v>
      </c>
    </row>
    <row r="26" spans="2:8" ht="14.25" customHeight="1" x14ac:dyDescent="0.25">
      <c r="B26" s="62">
        <f t="shared" si="0"/>
        <v>23</v>
      </c>
      <c r="C26" s="62">
        <v>200</v>
      </c>
      <c r="D26" s="69">
        <v>252</v>
      </c>
      <c r="E26" s="616" t="s">
        <v>297</v>
      </c>
      <c r="F26" s="312" t="s">
        <v>369</v>
      </c>
      <c r="G26" s="276">
        <v>-6323876</v>
      </c>
      <c r="H26" s="276">
        <f>AVERAGE(F26:G26)</f>
        <v>-6323876</v>
      </c>
    </row>
    <row r="27" spans="2:8" s="99" customFormat="1" ht="14.25" customHeight="1" x14ac:dyDescent="0.25">
      <c r="B27" s="115">
        <f t="shared" si="0"/>
        <v>24</v>
      </c>
      <c r="C27" s="115"/>
      <c r="D27" s="116"/>
      <c r="E27" s="45" t="s">
        <v>388</v>
      </c>
      <c r="F27" s="312" t="s">
        <v>369</v>
      </c>
      <c r="G27" s="292">
        <v>0</v>
      </c>
      <c r="H27" s="292">
        <v>0</v>
      </c>
    </row>
    <row r="28" spans="2:8" s="100" customFormat="1" ht="14.25" customHeight="1" x14ac:dyDescent="0.25">
      <c r="B28" s="115">
        <f t="shared" si="0"/>
        <v>25</v>
      </c>
      <c r="C28" s="62">
        <v>230</v>
      </c>
      <c r="D28" s="69">
        <v>253</v>
      </c>
      <c r="E28" s="616" t="s">
        <v>389</v>
      </c>
      <c r="F28" s="312" t="s">
        <v>369</v>
      </c>
      <c r="G28" s="276">
        <v>-4432332</v>
      </c>
      <c r="H28" s="276">
        <f>AVERAGE(F28:G28)</f>
        <v>-4432332</v>
      </c>
    </row>
    <row r="29" spans="2:8" s="100" customFormat="1" ht="14.25" customHeight="1" x14ac:dyDescent="0.25">
      <c r="B29" s="115">
        <f t="shared" si="0"/>
        <v>26</v>
      </c>
      <c r="C29" s="62"/>
      <c r="D29" s="69"/>
      <c r="E29" s="616" t="s">
        <v>299</v>
      </c>
      <c r="F29" s="312" t="s">
        <v>369</v>
      </c>
      <c r="G29" s="276">
        <v>-14844024</v>
      </c>
      <c r="H29" s="276">
        <f>AVERAGE(F29:G29)</f>
        <v>-14844024</v>
      </c>
    </row>
    <row r="30" spans="2:8" ht="14.25" customHeight="1" x14ac:dyDescent="0.25">
      <c r="B30" s="115">
        <f t="shared" si="0"/>
        <v>27</v>
      </c>
      <c r="C30" s="62"/>
      <c r="D30" s="62"/>
      <c r="E30" s="616" t="s">
        <v>390</v>
      </c>
      <c r="F30" s="312" t="s">
        <v>369</v>
      </c>
      <c r="G30" s="276">
        <f>SUM(G23:G29)</f>
        <v>-112601258</v>
      </c>
      <c r="H30" s="276">
        <f>AVERAGE(F30:G30)</f>
        <v>-112601258</v>
      </c>
    </row>
    <row r="31" spans="2:8" ht="14.25" customHeight="1" x14ac:dyDescent="0.25">
      <c r="B31" s="115">
        <f t="shared" si="0"/>
        <v>28</v>
      </c>
      <c r="C31" s="62"/>
      <c r="D31" s="62"/>
      <c r="E31" s="616"/>
      <c r="F31" s="619"/>
      <c r="G31" s="276"/>
      <c r="H31" s="276"/>
    </row>
    <row r="32" spans="2:8" s="99" customFormat="1" ht="14.25" customHeight="1" x14ac:dyDescent="0.25">
      <c r="B32" s="115">
        <f t="shared" si="0"/>
        <v>29</v>
      </c>
      <c r="C32" s="115"/>
      <c r="D32" s="115"/>
      <c r="E32" s="45" t="s">
        <v>391</v>
      </c>
      <c r="F32" s="312" t="s">
        <v>369</v>
      </c>
      <c r="G32" s="291">
        <f>G12+G20+G30</f>
        <v>195231948</v>
      </c>
      <c r="H32" s="276">
        <f>AVERAGE(F32:G32)</f>
        <v>195231948</v>
      </c>
    </row>
    <row r="34" spans="2:8" x14ac:dyDescent="0.25">
      <c r="B34" s="1" t="s">
        <v>392</v>
      </c>
      <c r="G34" s="106"/>
      <c r="H34" s="106"/>
    </row>
    <row r="35" spans="2:8" ht="15" x14ac:dyDescent="0.25">
      <c r="B35" s="153"/>
      <c r="G35" s="81"/>
    </row>
  </sheetData>
  <pageMargins left="0.75" right="0.75" top="1" bottom="1" header="0.5" footer="0.5"/>
  <pageSetup orientation="portrait" horizontalDpi="4294967292" verticalDpi="429496729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F2F2"/>
  </sheetPr>
  <dimension ref="A1:I38"/>
  <sheetViews>
    <sheetView showGridLines="0" workbookViewId="0"/>
  </sheetViews>
  <sheetFormatPr defaultColWidth="9.140625" defaultRowHeight="15" x14ac:dyDescent="0.25"/>
  <cols>
    <col min="1" max="1" width="2.7109375" style="100" customWidth="1"/>
    <col min="2" max="2" width="6.7109375" style="100" customWidth="1"/>
    <col min="3" max="3" width="41.7109375" style="100" customWidth="1"/>
    <col min="4" max="6" width="12.7109375" style="100" customWidth="1"/>
    <col min="7" max="7" width="14.7109375" style="159" customWidth="1"/>
    <col min="8" max="16384" width="9.140625" style="100"/>
  </cols>
  <sheetData>
    <row r="1" spans="1:9" s="9" customFormat="1" ht="9.75" customHeight="1" x14ac:dyDescent="0.25">
      <c r="B1" s="80"/>
    </row>
    <row r="2" spans="1:9" s="177" customFormat="1" ht="37.5" customHeight="1" x14ac:dyDescent="0.25">
      <c r="A2" s="132"/>
      <c r="B2" s="133" t="s">
        <v>393</v>
      </c>
      <c r="C2" s="133"/>
      <c r="D2" s="133"/>
      <c r="E2" s="132"/>
      <c r="F2" s="132"/>
      <c r="G2" s="176"/>
      <c r="H2" s="177" t="s">
        <v>12</v>
      </c>
    </row>
    <row r="3" spans="1:9" ht="27.75" customHeight="1" x14ac:dyDescent="0.25">
      <c r="A3" s="1"/>
      <c r="B3" s="712" t="s">
        <v>13</v>
      </c>
      <c r="C3" s="712" t="s">
        <v>55</v>
      </c>
      <c r="D3" s="712" t="s">
        <v>124</v>
      </c>
      <c r="E3" s="258" t="s">
        <v>125</v>
      </c>
      <c r="F3" s="258" t="s">
        <v>126</v>
      </c>
      <c r="G3" s="258" t="s">
        <v>127</v>
      </c>
    </row>
    <row r="4" spans="1:9" ht="18.75" customHeight="1" x14ac:dyDescent="0.25">
      <c r="A4" s="1"/>
      <c r="B4" s="56">
        <v>1</v>
      </c>
      <c r="C4" s="57" t="s">
        <v>394</v>
      </c>
      <c r="D4" s="57"/>
      <c r="E4" s="58"/>
      <c r="F4" s="58"/>
      <c r="G4" s="58"/>
    </row>
    <row r="5" spans="1:9" ht="18.75" customHeight="1" x14ac:dyDescent="0.25">
      <c r="A5" s="9"/>
      <c r="B5" s="42">
        <f t="shared" ref="B5" si="0">B4+1</f>
        <v>2</v>
      </c>
      <c r="C5" s="54" t="s">
        <v>43</v>
      </c>
      <c r="D5" s="60">
        <v>21432</v>
      </c>
      <c r="E5" s="60">
        <v>18564</v>
      </c>
      <c r="F5" s="60">
        <v>20609</v>
      </c>
      <c r="G5" s="118" t="s">
        <v>395</v>
      </c>
    </row>
    <row r="6" spans="1:9" ht="18.75" customHeight="1" x14ac:dyDescent="0.25">
      <c r="A6" s="9"/>
      <c r="B6" s="42">
        <f>B5+1</f>
        <v>3</v>
      </c>
      <c r="C6" s="54" t="s">
        <v>396</v>
      </c>
      <c r="D6" s="60">
        <v>3071</v>
      </c>
      <c r="E6" s="60">
        <v>5382</v>
      </c>
      <c r="F6" s="60">
        <v>7471</v>
      </c>
      <c r="G6" s="118" t="s">
        <v>397</v>
      </c>
    </row>
    <row r="7" spans="1:9" ht="18.75" customHeight="1" x14ac:dyDescent="0.25">
      <c r="A7" s="9"/>
      <c r="B7" s="42">
        <f t="shared" ref="B7:B18" si="1">B6+1</f>
        <v>4</v>
      </c>
      <c r="C7" s="55" t="s">
        <v>398</v>
      </c>
      <c r="D7" s="60">
        <v>1799</v>
      </c>
      <c r="E7" s="60">
        <v>2172</v>
      </c>
      <c r="F7" s="60">
        <v>2264</v>
      </c>
      <c r="G7" s="118" t="s">
        <v>399</v>
      </c>
    </row>
    <row r="8" spans="1:9" ht="18.75" customHeight="1" x14ac:dyDescent="0.25">
      <c r="A8" s="9"/>
      <c r="B8" s="42">
        <f t="shared" si="1"/>
        <v>5</v>
      </c>
      <c r="C8" s="55" t="s">
        <v>400</v>
      </c>
      <c r="D8" s="60">
        <v>4841</v>
      </c>
      <c r="E8" s="60">
        <v>3994</v>
      </c>
      <c r="F8" s="60">
        <v>2679</v>
      </c>
      <c r="G8" s="118" t="s">
        <v>401</v>
      </c>
      <c r="I8" s="1"/>
    </row>
    <row r="9" spans="1:9" ht="18.75" customHeight="1" x14ac:dyDescent="0.25">
      <c r="A9" s="9"/>
      <c r="B9" s="42">
        <f t="shared" si="1"/>
        <v>6</v>
      </c>
      <c r="C9" s="55" t="s">
        <v>402</v>
      </c>
      <c r="D9" s="60">
        <v>304</v>
      </c>
      <c r="E9" s="60">
        <v>191</v>
      </c>
      <c r="F9" s="60" t="s">
        <v>139</v>
      </c>
      <c r="G9" s="44" t="s">
        <v>403</v>
      </c>
    </row>
    <row r="10" spans="1:9" ht="18.75" customHeight="1" x14ac:dyDescent="0.25">
      <c r="A10" s="9"/>
      <c r="B10" s="42">
        <v>7</v>
      </c>
      <c r="C10" s="140" t="s">
        <v>404</v>
      </c>
      <c r="D10" s="60">
        <v>577</v>
      </c>
      <c r="E10" s="60" t="s">
        <v>139</v>
      </c>
      <c r="F10" s="60" t="s">
        <v>139</v>
      </c>
      <c r="G10" s="44" t="s">
        <v>395</v>
      </c>
    </row>
    <row r="11" spans="1:9" ht="18.75" customHeight="1" x14ac:dyDescent="0.25">
      <c r="A11" s="9"/>
      <c r="B11" s="42">
        <v>8</v>
      </c>
      <c r="C11" s="55" t="s">
        <v>405</v>
      </c>
      <c r="D11" s="60">
        <v>18</v>
      </c>
      <c r="E11" s="60">
        <v>23</v>
      </c>
      <c r="F11" s="60">
        <v>4</v>
      </c>
      <c r="G11" s="44" t="s">
        <v>401</v>
      </c>
    </row>
    <row r="12" spans="1:9" ht="18.75" customHeight="1" x14ac:dyDescent="0.25">
      <c r="A12" s="9"/>
      <c r="B12" s="42">
        <v>9</v>
      </c>
      <c r="C12" s="55" t="s">
        <v>406</v>
      </c>
      <c r="D12" s="366">
        <v>311</v>
      </c>
      <c r="E12" s="366">
        <v>5</v>
      </c>
      <c r="F12" s="366" t="s">
        <v>139</v>
      </c>
      <c r="G12" s="98" t="s">
        <v>403</v>
      </c>
    </row>
    <row r="13" spans="1:9" ht="18.75" customHeight="1" x14ac:dyDescent="0.25">
      <c r="A13" s="9"/>
      <c r="B13" s="42">
        <f t="shared" si="1"/>
        <v>10</v>
      </c>
      <c r="C13" s="55" t="s">
        <v>407</v>
      </c>
      <c r="D13" s="160">
        <f>SUM(D5:D12)</f>
        <v>32353</v>
      </c>
      <c r="E13" s="160">
        <f>SUM(E5:E12)</f>
        <v>30331</v>
      </c>
      <c r="F13" s="160">
        <f>SUM(F5:F12)</f>
        <v>33027</v>
      </c>
      <c r="G13" s="178"/>
    </row>
    <row r="14" spans="1:9" ht="18.75" customHeight="1" x14ac:dyDescent="0.25">
      <c r="A14" s="9"/>
      <c r="B14" s="42">
        <f t="shared" si="1"/>
        <v>11</v>
      </c>
      <c r="C14" s="103" t="s">
        <v>12</v>
      </c>
      <c r="D14" s="139"/>
      <c r="E14" s="527"/>
      <c r="F14" s="527"/>
      <c r="G14" s="179"/>
    </row>
    <row r="15" spans="1:9" ht="18.75" customHeight="1" x14ac:dyDescent="0.25">
      <c r="A15" s="9"/>
      <c r="B15" s="42">
        <f t="shared" si="1"/>
        <v>12</v>
      </c>
      <c r="C15" s="57" t="s">
        <v>408</v>
      </c>
      <c r="D15" s="57"/>
      <c r="E15" s="61"/>
      <c r="F15" s="61"/>
      <c r="G15" s="58"/>
    </row>
    <row r="16" spans="1:9" ht="18.75" customHeight="1" x14ac:dyDescent="0.25">
      <c r="A16" s="9"/>
      <c r="B16" s="42">
        <f t="shared" si="1"/>
        <v>13</v>
      </c>
      <c r="C16" s="66" t="s">
        <v>409</v>
      </c>
      <c r="D16" s="67" t="s">
        <v>410</v>
      </c>
      <c r="E16" s="67">
        <v>14348</v>
      </c>
      <c r="F16" s="113" t="s">
        <v>139</v>
      </c>
      <c r="G16" s="119" t="s">
        <v>403</v>
      </c>
    </row>
    <row r="17" spans="1:7" ht="18.75" customHeight="1" x14ac:dyDescent="0.25">
      <c r="A17" s="9"/>
      <c r="B17" s="42">
        <f t="shared" si="1"/>
        <v>14</v>
      </c>
      <c r="C17" s="66" t="s">
        <v>43</v>
      </c>
      <c r="D17" s="67">
        <v>6979</v>
      </c>
      <c r="E17" s="67">
        <v>6260</v>
      </c>
      <c r="F17" s="67">
        <v>753</v>
      </c>
      <c r="G17" s="58" t="s">
        <v>411</v>
      </c>
    </row>
    <row r="18" spans="1:7" ht="18.75" customHeight="1" x14ac:dyDescent="0.25">
      <c r="A18" s="9"/>
      <c r="B18" s="42">
        <f t="shared" si="1"/>
        <v>15</v>
      </c>
      <c r="C18" s="66" t="s">
        <v>412</v>
      </c>
      <c r="D18" s="67">
        <v>3887</v>
      </c>
      <c r="E18" s="67">
        <v>3887</v>
      </c>
      <c r="F18" s="67">
        <v>3887</v>
      </c>
      <c r="G18" s="58" t="s">
        <v>411</v>
      </c>
    </row>
    <row r="19" spans="1:7" ht="18.75" customHeight="1" x14ac:dyDescent="0.25">
      <c r="A19" s="9"/>
      <c r="B19" s="42">
        <v>16</v>
      </c>
      <c r="C19" s="66" t="s">
        <v>413</v>
      </c>
      <c r="D19" s="141">
        <v>1764</v>
      </c>
      <c r="E19" s="141" t="s">
        <v>139</v>
      </c>
      <c r="F19" s="141" t="s">
        <v>139</v>
      </c>
      <c r="G19" s="367" t="s">
        <v>414</v>
      </c>
    </row>
    <row r="20" spans="1:7" ht="18.75" customHeight="1" x14ac:dyDescent="0.25">
      <c r="B20" s="42">
        <v>17</v>
      </c>
      <c r="C20" s="55" t="s">
        <v>415</v>
      </c>
      <c r="D20" s="117">
        <f>SUM(D16:D19)</f>
        <v>12630</v>
      </c>
      <c r="E20" s="117">
        <f>SUM(E16:E18)</f>
        <v>24495</v>
      </c>
      <c r="F20" s="117">
        <f>SUM(F16:F18)</f>
        <v>4640</v>
      </c>
      <c r="G20" s="178"/>
    </row>
    <row r="21" spans="1:7" ht="18.75" customHeight="1" x14ac:dyDescent="0.25"/>
    <row r="22" spans="1:7" ht="18.75" customHeight="1" x14ac:dyDescent="0.25">
      <c r="B22" s="100" t="s">
        <v>416</v>
      </c>
    </row>
    <row r="23" spans="1:7" ht="18.75" customHeight="1" x14ac:dyDescent="0.25"/>
    <row r="24" spans="1:7" s="1" customFormat="1" ht="18.75" customHeight="1" x14ac:dyDescent="0.25">
      <c r="B24" s="56">
        <v>1</v>
      </c>
      <c r="C24" s="68" t="s">
        <v>269</v>
      </c>
      <c r="D24" s="180">
        <f>32353*1000</f>
        <v>32353000</v>
      </c>
      <c r="E24" s="180">
        <v>30292810</v>
      </c>
      <c r="F24" s="181">
        <v>33009470</v>
      </c>
      <c r="G24" s="525"/>
    </row>
    <row r="25" spans="1:7" s="1" customFormat="1" ht="18.75" customHeight="1" x14ac:dyDescent="0.25">
      <c r="B25" s="42">
        <f t="shared" ref="B25" si="2">B24+1</f>
        <v>2</v>
      </c>
      <c r="C25" s="68" t="s">
        <v>298</v>
      </c>
      <c r="D25" s="182">
        <f>24710*1000</f>
        <v>24710000</v>
      </c>
      <c r="E25" s="182">
        <v>4432332</v>
      </c>
      <c r="F25" s="85">
        <v>10005445</v>
      </c>
      <c r="G25" s="526"/>
    </row>
    <row r="26" spans="1:7" s="1" customFormat="1" ht="18.75" customHeight="1" x14ac:dyDescent="0.25">
      <c r="B26" s="42">
        <f>B25+1</f>
        <v>3</v>
      </c>
      <c r="C26" s="68"/>
      <c r="D26" s="218"/>
      <c r="E26" s="145"/>
      <c r="F26" s="78"/>
      <c r="G26" s="526"/>
    </row>
    <row r="27" spans="1:7" s="1" customFormat="1" ht="18.75" customHeight="1" x14ac:dyDescent="0.25">
      <c r="B27" s="42">
        <f t="shared" ref="B27" si="3">B26+1</f>
        <v>4</v>
      </c>
      <c r="C27" s="68" t="s">
        <v>417</v>
      </c>
      <c r="D27" s="145">
        <f>2104*1000</f>
        <v>2104000</v>
      </c>
      <c r="E27" s="145">
        <v>123922</v>
      </c>
      <c r="F27" s="78">
        <v>208399</v>
      </c>
      <c r="G27" s="526"/>
    </row>
    <row r="28" spans="1:7" ht="18.75" customHeight="1" x14ac:dyDescent="0.25">
      <c r="E28" s="183"/>
      <c r="F28" s="183"/>
      <c r="G28" s="184"/>
    </row>
    <row r="29" spans="1:7" ht="18.75" customHeight="1" x14ac:dyDescent="0.25">
      <c r="B29" s="185" t="s">
        <v>418</v>
      </c>
      <c r="E29" s="183"/>
      <c r="F29" s="183"/>
      <c r="G29" s="184"/>
    </row>
    <row r="30" spans="1:7" ht="18.75" customHeight="1" x14ac:dyDescent="0.25">
      <c r="B30" s="100" t="s">
        <v>419</v>
      </c>
      <c r="E30" s="183"/>
      <c r="F30" s="183"/>
      <c r="G30" s="184"/>
    </row>
    <row r="31" spans="1:7" ht="18.75" customHeight="1" x14ac:dyDescent="0.25">
      <c r="G31" s="184"/>
    </row>
    <row r="32" spans="1:7" ht="18.75" customHeight="1" x14ac:dyDescent="0.25">
      <c r="G32" s="184"/>
    </row>
    <row r="33" spans="7:7" ht="18.75" customHeight="1" x14ac:dyDescent="0.25"/>
    <row r="34" spans="7:7" ht="18.75" customHeight="1" x14ac:dyDescent="0.25">
      <c r="G34" s="184"/>
    </row>
    <row r="35" spans="7:7" ht="18.75" customHeight="1" x14ac:dyDescent="0.25">
      <c r="G35" s="184"/>
    </row>
    <row r="36" spans="7:7" ht="18.75" customHeight="1" x14ac:dyDescent="0.25">
      <c r="G36" s="184"/>
    </row>
    <row r="38" spans="7:7" x14ac:dyDescent="0.25">
      <c r="G38" s="184"/>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F2F2"/>
  </sheetPr>
  <dimension ref="B1:J56"/>
  <sheetViews>
    <sheetView showGridLines="0" zoomScale="125" zoomScaleNormal="125" zoomScalePageLayoutView="125" workbookViewId="0">
      <selection activeCell="I4" sqref="I4"/>
    </sheetView>
  </sheetViews>
  <sheetFormatPr defaultColWidth="10.85546875" defaultRowHeight="12.75" x14ac:dyDescent="0.25"/>
  <cols>
    <col min="1" max="1" width="2.7109375" style="1" customWidth="1"/>
    <col min="2" max="3" width="6.7109375" style="1" customWidth="1"/>
    <col min="4" max="4" width="7.42578125" style="1" customWidth="1"/>
    <col min="5" max="5" width="42.7109375" style="1" customWidth="1"/>
    <col min="6" max="8" width="14.7109375" style="1" customWidth="1"/>
    <col min="9" max="16384" width="10.85546875" style="1"/>
  </cols>
  <sheetData>
    <row r="1" spans="2:8" s="9" customFormat="1" ht="9.75" customHeight="1" x14ac:dyDescent="0.25">
      <c r="B1" s="80"/>
    </row>
    <row r="2" spans="2:8" s="8" customFormat="1" ht="37.5" customHeight="1" x14ac:dyDescent="0.25">
      <c r="B2" s="19" t="s">
        <v>365</v>
      </c>
      <c r="C2" s="16"/>
      <c r="D2" s="36"/>
      <c r="G2" s="35"/>
    </row>
    <row r="3" spans="2:8" ht="18.75" customHeight="1" x14ac:dyDescent="0.25">
      <c r="B3" s="712" t="s">
        <v>13</v>
      </c>
      <c r="C3" s="712" t="s">
        <v>188</v>
      </c>
      <c r="D3" s="712" t="s">
        <v>54</v>
      </c>
      <c r="E3" s="287" t="s">
        <v>55</v>
      </c>
      <c r="F3" s="712">
        <v>2018</v>
      </c>
      <c r="G3" s="712">
        <v>2017</v>
      </c>
      <c r="H3" s="712" t="s">
        <v>366</v>
      </c>
    </row>
    <row r="4" spans="2:8" ht="18.75" customHeight="1" x14ac:dyDescent="0.25">
      <c r="B4" s="62">
        <v>1</v>
      </c>
      <c r="C4" s="62">
        <v>200</v>
      </c>
      <c r="D4" s="69">
        <v>101</v>
      </c>
      <c r="E4" s="616" t="s">
        <v>367</v>
      </c>
      <c r="F4" s="276">
        <f>'5-Plant'!E62</f>
        <v>371879339</v>
      </c>
      <c r="G4" s="276">
        <f>'5-Plant'!I62</f>
        <v>348669833</v>
      </c>
      <c r="H4" s="276">
        <f>AVERAGE(F4:G4)</f>
        <v>360274586</v>
      </c>
    </row>
    <row r="5" spans="2:8" ht="18.75" customHeight="1" x14ac:dyDescent="0.25">
      <c r="B5" s="62">
        <f>B4+1</f>
        <v>2</v>
      </c>
      <c r="C5" s="62" t="s">
        <v>12</v>
      </c>
      <c r="D5" s="69" t="s">
        <v>12</v>
      </c>
      <c r="E5" s="616"/>
      <c r="F5" s="617"/>
      <c r="G5" s="276"/>
      <c r="H5" s="276"/>
    </row>
    <row r="6" spans="2:8" ht="18.75" customHeight="1" x14ac:dyDescent="0.25">
      <c r="B6" s="62">
        <f t="shared" ref="B6:B32" si="0">B5+1</f>
        <v>3</v>
      </c>
      <c r="C6" s="62">
        <v>205</v>
      </c>
      <c r="D6" s="69">
        <v>108.1</v>
      </c>
      <c r="E6" s="616" t="s">
        <v>368</v>
      </c>
      <c r="F6" s="312">
        <f>'9-Assets'!F12</f>
        <v>-76920413</v>
      </c>
      <c r="G6" s="276">
        <f>'9-Assets'!G12</f>
        <v>-72240231</v>
      </c>
      <c r="H6" s="276">
        <f>AVERAGE(F6:G6)</f>
        <v>-74580322</v>
      </c>
    </row>
    <row r="7" spans="2:8" ht="18.75" customHeight="1" x14ac:dyDescent="0.25">
      <c r="B7" s="62">
        <f t="shared" si="0"/>
        <v>4</v>
      </c>
      <c r="C7" s="62"/>
      <c r="D7" s="69"/>
      <c r="E7" s="616" t="s">
        <v>370</v>
      </c>
      <c r="F7" s="312">
        <f>SUM(F4:F6)</f>
        <v>294958926</v>
      </c>
      <c r="G7" s="276">
        <f>SUM(G4:G6)</f>
        <v>276429602</v>
      </c>
      <c r="H7" s="276">
        <f>AVERAGE(F7:G7)</f>
        <v>285694264</v>
      </c>
    </row>
    <row r="8" spans="2:8" ht="18.75" customHeight="1" x14ac:dyDescent="0.25">
      <c r="B8" s="62">
        <f t="shared" si="0"/>
        <v>5</v>
      </c>
      <c r="C8" s="62"/>
      <c r="D8" s="69"/>
      <c r="E8" s="616"/>
      <c r="F8" s="409"/>
      <c r="G8" s="276"/>
      <c r="H8" s="276"/>
    </row>
    <row r="9" spans="2:8" ht="18.75" customHeight="1" x14ac:dyDescent="0.25">
      <c r="B9" s="62">
        <f t="shared" si="0"/>
        <v>6</v>
      </c>
      <c r="C9" s="62"/>
      <c r="D9" s="69"/>
      <c r="E9" s="45" t="s">
        <v>371</v>
      </c>
      <c r="F9" s="336"/>
      <c r="G9" s="291"/>
      <c r="H9" s="276"/>
    </row>
    <row r="10" spans="2:8" ht="18.75" customHeight="1" x14ac:dyDescent="0.25">
      <c r="B10" s="62">
        <f t="shared" si="0"/>
        <v>7</v>
      </c>
      <c r="C10" s="62">
        <v>200</v>
      </c>
      <c r="D10" s="69">
        <v>114</v>
      </c>
      <c r="E10" s="78" t="s">
        <v>372</v>
      </c>
      <c r="F10" s="336">
        <v>-3292572</v>
      </c>
      <c r="G10" s="291">
        <v>-3360459</v>
      </c>
      <c r="H10" s="276">
        <f>AVERAGE(F10:G10)</f>
        <v>-3326515.5</v>
      </c>
    </row>
    <row r="11" spans="2:8" ht="18.75" customHeight="1" x14ac:dyDescent="0.25">
      <c r="B11" s="62">
        <f t="shared" si="0"/>
        <v>8</v>
      </c>
      <c r="C11" s="62">
        <v>200</v>
      </c>
      <c r="D11" s="69">
        <v>115</v>
      </c>
      <c r="E11" s="45" t="s">
        <v>373</v>
      </c>
      <c r="F11" s="336">
        <v>814419</v>
      </c>
      <c r="G11" s="274">
        <v>766397</v>
      </c>
      <c r="H11" s="276">
        <f>AVERAGE(F11:G11)</f>
        <v>790408</v>
      </c>
    </row>
    <row r="12" spans="2:8" ht="18.75" customHeight="1" x14ac:dyDescent="0.25">
      <c r="B12" s="62">
        <f t="shared" si="0"/>
        <v>9</v>
      </c>
      <c r="C12" s="62"/>
      <c r="D12" s="69"/>
      <c r="E12" s="618" t="s">
        <v>374</v>
      </c>
      <c r="F12" s="312">
        <f>SUM(F7:F11)</f>
        <v>292480773</v>
      </c>
      <c r="G12" s="276">
        <f>SUM(G7:G11)</f>
        <v>273835540</v>
      </c>
      <c r="H12" s="276">
        <f>AVERAGE(F12:G12)</f>
        <v>283158156.5</v>
      </c>
    </row>
    <row r="13" spans="2:8" ht="18.75" customHeight="1" x14ac:dyDescent="0.25">
      <c r="B13" s="62">
        <f t="shared" si="0"/>
        <v>10</v>
      </c>
      <c r="C13" s="62"/>
      <c r="D13" s="69"/>
      <c r="E13" s="618"/>
      <c r="F13" s="312"/>
      <c r="G13" s="276"/>
      <c r="H13" s="276"/>
    </row>
    <row r="14" spans="2:8" ht="18.75" customHeight="1" x14ac:dyDescent="0.25">
      <c r="B14" s="62">
        <f t="shared" si="0"/>
        <v>11</v>
      </c>
      <c r="C14" s="62"/>
      <c r="D14" s="69"/>
      <c r="E14" s="616" t="s">
        <v>375</v>
      </c>
      <c r="F14" s="312"/>
      <c r="G14" s="276"/>
      <c r="H14" s="276"/>
    </row>
    <row r="15" spans="2:8" ht="18.75" customHeight="1" x14ac:dyDescent="0.25">
      <c r="B15" s="62">
        <f t="shared" si="0"/>
        <v>12</v>
      </c>
      <c r="C15" s="62">
        <v>203</v>
      </c>
      <c r="D15" s="69">
        <v>103</v>
      </c>
      <c r="E15" s="616" t="s">
        <v>376</v>
      </c>
      <c r="F15" s="312">
        <v>0</v>
      </c>
      <c r="G15" s="276">
        <v>0</v>
      </c>
      <c r="H15" s="276">
        <v>0</v>
      </c>
    </row>
    <row r="16" spans="2:8" ht="18.75" customHeight="1" x14ac:dyDescent="0.25">
      <c r="B16" s="62">
        <f t="shared" si="0"/>
        <v>13</v>
      </c>
      <c r="C16" s="62">
        <v>215</v>
      </c>
      <c r="D16" s="69">
        <v>162</v>
      </c>
      <c r="E16" s="616" t="s">
        <v>377</v>
      </c>
      <c r="F16" s="312">
        <v>926656</v>
      </c>
      <c r="G16" s="276">
        <v>700578</v>
      </c>
      <c r="H16" s="276">
        <f>AVERAGE(F16:G16)</f>
        <v>813617</v>
      </c>
    </row>
    <row r="17" spans="2:10" ht="18.75" customHeight="1" x14ac:dyDescent="0.25">
      <c r="B17" s="62">
        <f t="shared" si="0"/>
        <v>14</v>
      </c>
      <c r="C17" s="62">
        <v>214</v>
      </c>
      <c r="D17" s="69">
        <v>151</v>
      </c>
      <c r="E17" s="616" t="s">
        <v>378</v>
      </c>
      <c r="F17" s="312">
        <v>875569</v>
      </c>
      <c r="G17" s="276">
        <v>905621</v>
      </c>
      <c r="H17" s="276">
        <f>AVERAGE(F17:G17)</f>
        <v>890595</v>
      </c>
    </row>
    <row r="18" spans="2:10" ht="18.75" customHeight="1" x14ac:dyDescent="0.25">
      <c r="B18" s="62">
        <f t="shared" si="0"/>
        <v>15</v>
      </c>
      <c r="C18" s="62">
        <v>200</v>
      </c>
      <c r="D18" s="69">
        <v>131.19999999999999</v>
      </c>
      <c r="E18" s="45" t="s">
        <v>379</v>
      </c>
      <c r="F18" s="312">
        <f>'15-Income'!F6*1/8</f>
        <v>2184880.75</v>
      </c>
      <c r="G18" s="276">
        <f>'15-Income'!G6*1/8</f>
        <v>2098657</v>
      </c>
      <c r="H18" s="276">
        <f>AVERAGE(F18:G18)</f>
        <v>2141768.875</v>
      </c>
    </row>
    <row r="19" spans="2:10" s="100" customFormat="1" ht="18.75" customHeight="1" x14ac:dyDescent="0.25">
      <c r="B19" s="62">
        <f t="shared" si="0"/>
        <v>16</v>
      </c>
      <c r="C19" s="62">
        <v>200</v>
      </c>
      <c r="D19" s="116">
        <v>186.3</v>
      </c>
      <c r="E19" s="45" t="s">
        <v>420</v>
      </c>
      <c r="F19" s="312">
        <v>31993427</v>
      </c>
      <c r="G19" s="276">
        <v>30292810</v>
      </c>
      <c r="H19" s="276">
        <f>AVERAGE(F19:G19)</f>
        <v>31143118.5</v>
      </c>
    </row>
    <row r="20" spans="2:10" ht="18.75" customHeight="1" x14ac:dyDescent="0.25">
      <c r="B20" s="62">
        <f t="shared" si="0"/>
        <v>17</v>
      </c>
      <c r="C20" s="62"/>
      <c r="D20" s="69"/>
      <c r="E20" s="616" t="s">
        <v>381</v>
      </c>
      <c r="F20" s="312">
        <f>SUM(F14:F19)</f>
        <v>35980532.75</v>
      </c>
      <c r="G20" s="276">
        <f>SUM(G14:G19)</f>
        <v>33997666</v>
      </c>
      <c r="H20" s="276">
        <f>AVERAGE(F20:G20)</f>
        <v>34989099.375</v>
      </c>
    </row>
    <row r="21" spans="2:10" ht="18.75" customHeight="1" x14ac:dyDescent="0.25">
      <c r="B21" s="62">
        <f t="shared" si="0"/>
        <v>18</v>
      </c>
      <c r="C21" s="62"/>
      <c r="D21" s="69"/>
      <c r="E21" s="616"/>
      <c r="F21" s="409"/>
      <c r="G21" s="276"/>
      <c r="H21" s="276"/>
    </row>
    <row r="22" spans="2:10" ht="18.75" customHeight="1" x14ac:dyDescent="0.25">
      <c r="B22" s="62">
        <f t="shared" si="0"/>
        <v>19</v>
      </c>
      <c r="C22" s="62"/>
      <c r="D22" s="69"/>
      <c r="E22" s="616" t="s">
        <v>382</v>
      </c>
      <c r="F22" s="409"/>
      <c r="G22" s="276"/>
      <c r="H22" s="276"/>
    </row>
    <row r="23" spans="2:10" ht="18.75" customHeight="1" x14ac:dyDescent="0.25">
      <c r="B23" s="62">
        <f t="shared" si="0"/>
        <v>20</v>
      </c>
      <c r="C23" s="62">
        <v>200</v>
      </c>
      <c r="D23" s="69" t="s">
        <v>383</v>
      </c>
      <c r="E23" s="616" t="s">
        <v>384</v>
      </c>
      <c r="F23" s="312">
        <v>-50449379</v>
      </c>
      <c r="G23" s="276">
        <v>-48371145</v>
      </c>
      <c r="H23" s="276">
        <f>AVERAGE(F23:G23)</f>
        <v>-49410262</v>
      </c>
    </row>
    <row r="24" spans="2:10" s="6" customFormat="1" ht="18.75" customHeight="1" x14ac:dyDescent="0.25">
      <c r="B24" s="62">
        <f t="shared" si="0"/>
        <v>21</v>
      </c>
      <c r="C24" s="115">
        <v>200</v>
      </c>
      <c r="D24" s="116">
        <v>255.1</v>
      </c>
      <c r="E24" s="45" t="s">
        <v>385</v>
      </c>
      <c r="F24" s="312"/>
      <c r="G24" s="291"/>
      <c r="H24" s="276"/>
      <c r="J24" s="1"/>
    </row>
    <row r="25" spans="2:10" ht="18.75" customHeight="1" x14ac:dyDescent="0.25">
      <c r="B25" s="62">
        <f t="shared" si="0"/>
        <v>22</v>
      </c>
      <c r="C25" s="62">
        <v>200</v>
      </c>
      <c r="D25" s="69" t="s">
        <v>386</v>
      </c>
      <c r="E25" s="616" t="s">
        <v>387</v>
      </c>
      <c r="F25" s="312">
        <v>-39692068</v>
      </c>
      <c r="G25" s="276">
        <f>-(3776313+34853568)</f>
        <v>-38629881</v>
      </c>
      <c r="H25" s="276">
        <f>AVERAGE(F25:G25)</f>
        <v>-39160974.5</v>
      </c>
    </row>
    <row r="26" spans="2:10" ht="18.75" customHeight="1" x14ac:dyDescent="0.25">
      <c r="B26" s="62">
        <f t="shared" si="0"/>
        <v>23</v>
      </c>
      <c r="C26" s="62">
        <v>200</v>
      </c>
      <c r="D26" s="69">
        <v>252</v>
      </c>
      <c r="E26" s="616" t="s">
        <v>297</v>
      </c>
      <c r="F26" s="312">
        <v>-6849139</v>
      </c>
      <c r="G26" s="276">
        <v>-6323876</v>
      </c>
      <c r="H26" s="276">
        <f>AVERAGE(F26:G26)</f>
        <v>-6586507.5</v>
      </c>
      <c r="J26" s="99"/>
    </row>
    <row r="27" spans="2:10" s="99" customFormat="1" ht="18.75" customHeight="1" x14ac:dyDescent="0.25">
      <c r="B27" s="62">
        <f t="shared" si="0"/>
        <v>24</v>
      </c>
      <c r="C27" s="115"/>
      <c r="D27" s="116"/>
      <c r="E27" s="45" t="s">
        <v>388</v>
      </c>
      <c r="F27" s="312">
        <v>0</v>
      </c>
      <c r="G27" s="291">
        <v>0</v>
      </c>
      <c r="H27" s="291">
        <v>0</v>
      </c>
      <c r="J27" s="100"/>
    </row>
    <row r="28" spans="2:10" s="100" customFormat="1" ht="18.75" customHeight="1" x14ac:dyDescent="0.25">
      <c r="B28" s="62">
        <f t="shared" si="0"/>
        <v>25</v>
      </c>
      <c r="C28" s="62">
        <v>230</v>
      </c>
      <c r="D28" s="69">
        <v>253</v>
      </c>
      <c r="E28" s="616" t="s">
        <v>389</v>
      </c>
      <c r="F28" s="312">
        <v>-10509060</v>
      </c>
      <c r="G28" s="276">
        <v>-4432332</v>
      </c>
      <c r="H28" s="276">
        <f>AVERAGE(F28:G28)</f>
        <v>-7470696</v>
      </c>
    </row>
    <row r="29" spans="2:10" s="100" customFormat="1" ht="18.75" customHeight="1" x14ac:dyDescent="0.25">
      <c r="B29" s="62">
        <f t="shared" si="0"/>
        <v>26</v>
      </c>
      <c r="C29" s="62"/>
      <c r="D29" s="69"/>
      <c r="E29" s="616" t="s">
        <v>299</v>
      </c>
      <c r="F29" s="312">
        <v>-9270912</v>
      </c>
      <c r="G29" s="276">
        <v>-14844024</v>
      </c>
      <c r="H29" s="276">
        <f>AVERAGE(F29:G29)</f>
        <v>-12057468</v>
      </c>
      <c r="J29" s="1"/>
    </row>
    <row r="30" spans="2:10" ht="18.75" customHeight="1" x14ac:dyDescent="0.25">
      <c r="B30" s="62">
        <f t="shared" si="0"/>
        <v>27</v>
      </c>
      <c r="C30" s="62"/>
      <c r="D30" s="62"/>
      <c r="E30" s="616" t="s">
        <v>390</v>
      </c>
      <c r="F30" s="312">
        <f>SUM(F23:F29)</f>
        <v>-116770558</v>
      </c>
      <c r="G30" s="276">
        <f>SUM(G23:G29)</f>
        <v>-112601258</v>
      </c>
      <c r="H30" s="276">
        <f>AVERAGE(F30:G30)</f>
        <v>-114685908</v>
      </c>
    </row>
    <row r="31" spans="2:10" ht="18.75" customHeight="1" thickBot="1" x14ac:dyDescent="0.3">
      <c r="B31" s="62">
        <f t="shared" si="0"/>
        <v>28</v>
      </c>
      <c r="C31" s="62"/>
      <c r="D31" s="62"/>
      <c r="E31" s="616"/>
      <c r="F31" s="303"/>
      <c r="G31" s="302"/>
      <c r="H31" s="302"/>
      <c r="J31" s="99"/>
    </row>
    <row r="32" spans="2:10" s="99" customFormat="1" ht="18.75" customHeight="1" thickBot="1" x14ac:dyDescent="0.3">
      <c r="B32" s="62">
        <f t="shared" si="0"/>
        <v>29</v>
      </c>
      <c r="C32" s="115"/>
      <c r="D32" s="115"/>
      <c r="E32" s="45" t="s">
        <v>391</v>
      </c>
      <c r="F32" s="668">
        <f>F12+F20+F30</f>
        <v>211690747.75</v>
      </c>
      <c r="G32" s="291">
        <f>G12+G20+G30</f>
        <v>195231948</v>
      </c>
      <c r="H32" s="276">
        <f>AVERAGE(F32:G32)</f>
        <v>203461347.875</v>
      </c>
      <c r="J32" s="1"/>
    </row>
    <row r="33" spans="2:8" ht="18.75" customHeight="1" x14ac:dyDescent="0.25"/>
    <row r="34" spans="2:8" ht="18.75" customHeight="1" x14ac:dyDescent="0.25">
      <c r="B34" s="1" t="s">
        <v>392</v>
      </c>
      <c r="G34" s="106"/>
      <c r="H34" s="106"/>
    </row>
    <row r="35" spans="2:8" ht="18.75" customHeight="1" x14ac:dyDescent="0.25">
      <c r="B35" s="153"/>
      <c r="G35" s="81"/>
    </row>
    <row r="36" spans="2:8" ht="18.75" customHeight="1" x14ac:dyDescent="0.25"/>
    <row r="37" spans="2:8" ht="18.75" customHeight="1" x14ac:dyDescent="0.25"/>
    <row r="38" spans="2:8" ht="18.75" customHeight="1" x14ac:dyDescent="0.25"/>
    <row r="39" spans="2:8" ht="18.75" customHeight="1" x14ac:dyDescent="0.25"/>
    <row r="40" spans="2:8" ht="18.75" customHeight="1" x14ac:dyDescent="0.25"/>
    <row r="41" spans="2:8" ht="18.75" customHeight="1" x14ac:dyDescent="0.25"/>
    <row r="42" spans="2:8" ht="18.75" customHeight="1" x14ac:dyDescent="0.25"/>
    <row r="43" spans="2:8" ht="18.75" customHeight="1" x14ac:dyDescent="0.25"/>
    <row r="44" spans="2:8" ht="18.75" customHeight="1" x14ac:dyDescent="0.25"/>
    <row r="45" spans="2:8" ht="18.75" customHeight="1" x14ac:dyDescent="0.25"/>
    <row r="46" spans="2:8" ht="18.75" customHeight="1" x14ac:dyDescent="0.25"/>
    <row r="47" spans="2:8" ht="18.75" customHeight="1" x14ac:dyDescent="0.25"/>
    <row r="48" spans="2:8" ht="18.75" customHeight="1" x14ac:dyDescent="0.25"/>
    <row r="49" ht="18.75" customHeight="1" x14ac:dyDescent="0.25"/>
    <row r="50" ht="18.75" customHeight="1" x14ac:dyDescent="0.25"/>
    <row r="51" ht="18.75" customHeight="1" x14ac:dyDescent="0.25"/>
    <row r="52" ht="18.75" customHeight="1" x14ac:dyDescent="0.25"/>
    <row r="53" ht="18.75" customHeight="1" x14ac:dyDescent="0.25"/>
    <row r="54" ht="18.75" customHeight="1" x14ac:dyDescent="0.25"/>
    <row r="55" ht="18.75" customHeight="1" x14ac:dyDescent="0.25"/>
    <row r="56" ht="18.75" customHeight="1" x14ac:dyDescent="0.25"/>
  </sheetData>
  <pageMargins left="0.75" right="0.75" top="1" bottom="1" header="0.5" footer="0.5"/>
  <pageSetup orientation="portrait" horizontalDpi="4294967292" verticalDpi="429496729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F2F2"/>
  </sheetPr>
  <dimension ref="B1:J64"/>
  <sheetViews>
    <sheetView showGridLines="0" zoomScale="125" zoomScaleNormal="125" zoomScalePageLayoutView="125" workbookViewId="0">
      <selection activeCell="J5" sqref="J5"/>
    </sheetView>
  </sheetViews>
  <sheetFormatPr defaultColWidth="10.85546875" defaultRowHeight="14.1" customHeight="1" x14ac:dyDescent="0.25"/>
  <cols>
    <col min="1" max="1" width="2.7109375" style="1" customWidth="1"/>
    <col min="2" max="2" width="6.7109375" style="1" customWidth="1"/>
    <col min="3" max="3" width="7.140625" style="14" customWidth="1"/>
    <col min="4" max="4" width="7.140625" style="2" customWidth="1"/>
    <col min="5" max="5" width="45.28515625" style="1" customWidth="1"/>
    <col min="6" max="6" width="14.7109375" style="1" customWidth="1"/>
    <col min="7" max="8" width="14.7109375" style="10" customWidth="1"/>
    <col min="9" max="16384" width="10.85546875" style="1"/>
  </cols>
  <sheetData>
    <row r="1" spans="2:9" s="9" customFormat="1" ht="9.75" customHeight="1" x14ac:dyDescent="0.25">
      <c r="B1" s="80"/>
    </row>
    <row r="2" spans="2:9" s="8" customFormat="1" ht="37.5" customHeight="1" x14ac:dyDescent="0.25">
      <c r="B2" s="19" t="s">
        <v>421</v>
      </c>
      <c r="C2" s="16"/>
      <c r="D2" s="36"/>
      <c r="G2" s="35"/>
      <c r="H2" s="35"/>
    </row>
    <row r="3" spans="2:9" ht="18.75" customHeight="1" x14ac:dyDescent="0.25">
      <c r="B3" s="256" t="s">
        <v>13</v>
      </c>
      <c r="C3" s="257" t="s">
        <v>54</v>
      </c>
      <c r="D3" s="256" t="s">
        <v>188</v>
      </c>
      <c r="E3" s="256" t="s">
        <v>55</v>
      </c>
      <c r="F3" s="387">
        <v>2018</v>
      </c>
      <c r="G3" s="262">
        <v>2017</v>
      </c>
      <c r="H3" s="262">
        <v>2016</v>
      </c>
    </row>
    <row r="4" spans="2:9" ht="18.75" customHeight="1" x14ac:dyDescent="0.25">
      <c r="B4" s="18">
        <v>1</v>
      </c>
      <c r="C4" s="174">
        <v>400</v>
      </c>
      <c r="D4" s="171">
        <v>401</v>
      </c>
      <c r="E4" s="173" t="s">
        <v>422</v>
      </c>
      <c r="F4" s="276">
        <v>47277356</v>
      </c>
      <c r="G4" s="386">
        <f>'17-Revenues'!F31</f>
        <v>47558771</v>
      </c>
      <c r="H4" s="293">
        <f>'17-Revenues'!G19</f>
        <v>45226616</v>
      </c>
    </row>
    <row r="5" spans="2:9" ht="18.75" customHeight="1" x14ac:dyDescent="0.25">
      <c r="B5" s="18">
        <f>B4+1</f>
        <v>2</v>
      </c>
      <c r="C5" s="174"/>
      <c r="D5" s="171"/>
      <c r="E5" s="158"/>
      <c r="F5" s="268"/>
      <c r="G5" s="268"/>
      <c r="H5" s="268"/>
    </row>
    <row r="6" spans="2:9" ht="18.75" customHeight="1" x14ac:dyDescent="0.25">
      <c r="B6" s="18">
        <f t="shared" ref="B6:B47" si="0">B5+1</f>
        <v>3</v>
      </c>
      <c r="C6" s="174">
        <v>401</v>
      </c>
      <c r="D6" s="171">
        <v>407</v>
      </c>
      <c r="E6" s="158" t="s">
        <v>423</v>
      </c>
      <c r="F6" s="286">
        <f>'18-Expenses'!F63</f>
        <v>17479046</v>
      </c>
      <c r="G6" s="286">
        <f>'18-Expenses'!G63</f>
        <v>16789256</v>
      </c>
      <c r="H6" s="286">
        <f>'18-Expenses'!H63</f>
        <v>16710163</v>
      </c>
      <c r="I6" s="383"/>
    </row>
    <row r="7" spans="2:9" ht="18.75" customHeight="1" x14ac:dyDescent="0.25">
      <c r="B7" s="18">
        <f t="shared" si="0"/>
        <v>4</v>
      </c>
      <c r="C7" s="174"/>
      <c r="D7" s="171"/>
      <c r="E7" s="158"/>
      <c r="F7" s="268"/>
      <c r="G7" s="268"/>
      <c r="H7" s="268"/>
      <c r="I7" s="383"/>
    </row>
    <row r="8" spans="2:9" ht="18.75" customHeight="1" x14ac:dyDescent="0.25">
      <c r="B8" s="18">
        <f t="shared" si="0"/>
        <v>5</v>
      </c>
      <c r="C8" s="174"/>
      <c r="D8" s="171"/>
      <c r="E8" s="158" t="s">
        <v>424</v>
      </c>
      <c r="F8" s="299"/>
      <c r="G8" s="266"/>
      <c r="H8" s="266"/>
    </row>
    <row r="9" spans="2:9" ht="18.75" customHeight="1" x14ac:dyDescent="0.25">
      <c r="B9" s="18">
        <f t="shared" si="0"/>
        <v>6</v>
      </c>
      <c r="C9" s="174">
        <v>403</v>
      </c>
      <c r="D9" s="171"/>
      <c r="E9" s="158" t="s">
        <v>425</v>
      </c>
      <c r="F9" s="299">
        <v>6968013</v>
      </c>
      <c r="G9" s="266">
        <v>6735295</v>
      </c>
      <c r="H9" s="266">
        <v>6395527</v>
      </c>
    </row>
    <row r="10" spans="2:9" ht="18.75" customHeight="1" x14ac:dyDescent="0.25">
      <c r="B10" s="18">
        <f t="shared" si="0"/>
        <v>7</v>
      </c>
      <c r="C10" s="174">
        <v>406</v>
      </c>
      <c r="D10" s="171">
        <v>417</v>
      </c>
      <c r="E10" s="158" t="s">
        <v>426</v>
      </c>
      <c r="F10" s="299">
        <v>-48022</v>
      </c>
      <c r="G10" s="266">
        <v>-48022</v>
      </c>
      <c r="H10" s="266">
        <v>-48022</v>
      </c>
    </row>
    <row r="11" spans="2:9" ht="18.75" customHeight="1" x14ac:dyDescent="0.25">
      <c r="B11" s="18">
        <f t="shared" si="0"/>
        <v>8</v>
      </c>
      <c r="C11" s="174"/>
      <c r="D11" s="171"/>
      <c r="E11" s="158" t="s">
        <v>427</v>
      </c>
      <c r="F11" s="297">
        <f>SUM(F9:F10)</f>
        <v>6919991</v>
      </c>
      <c r="G11" s="286">
        <f>SUM(G9:G10)</f>
        <v>6687273</v>
      </c>
      <c r="H11" s="286">
        <f>SUM(H8:H10)</f>
        <v>6347505</v>
      </c>
    </row>
    <row r="12" spans="2:9" ht="18.75" customHeight="1" x14ac:dyDescent="0.25">
      <c r="B12" s="18">
        <f t="shared" si="0"/>
        <v>9</v>
      </c>
      <c r="C12" s="174"/>
      <c r="D12" s="171"/>
      <c r="E12" s="158"/>
      <c r="F12" s="298"/>
      <c r="G12" s="268"/>
      <c r="H12" s="268"/>
    </row>
    <row r="13" spans="2:9" ht="18.75" customHeight="1" x14ac:dyDescent="0.25">
      <c r="B13" s="18">
        <f t="shared" si="0"/>
        <v>10</v>
      </c>
      <c r="C13" s="174"/>
      <c r="D13" s="171"/>
      <c r="E13" s="158" t="s">
        <v>428</v>
      </c>
      <c r="F13" s="299"/>
      <c r="G13" s="266"/>
      <c r="H13" s="266"/>
    </row>
    <row r="14" spans="2:9" ht="18.75" customHeight="1" x14ac:dyDescent="0.25">
      <c r="B14" s="18">
        <f t="shared" si="0"/>
        <v>11</v>
      </c>
      <c r="C14" s="174">
        <v>408</v>
      </c>
      <c r="D14" s="171">
        <v>419</v>
      </c>
      <c r="E14" s="158" t="s">
        <v>429</v>
      </c>
      <c r="F14" s="299">
        <v>1118933</v>
      </c>
      <c r="G14" s="266">
        <v>1111100</v>
      </c>
      <c r="H14" s="266">
        <v>1097363</v>
      </c>
    </row>
    <row r="15" spans="2:9" ht="18.75" customHeight="1" x14ac:dyDescent="0.25">
      <c r="B15" s="18">
        <f t="shared" si="0"/>
        <v>12</v>
      </c>
      <c r="C15" s="174">
        <v>409.1</v>
      </c>
      <c r="D15" s="171">
        <v>419</v>
      </c>
      <c r="E15" s="158" t="s">
        <v>430</v>
      </c>
      <c r="F15" s="299">
        <v>1815781</v>
      </c>
      <c r="G15" s="266">
        <v>1377633</v>
      </c>
      <c r="H15" s="266">
        <v>2753489</v>
      </c>
      <c r="I15" s="109"/>
    </row>
    <row r="16" spans="2:9" ht="18.75" customHeight="1" x14ac:dyDescent="0.25">
      <c r="B16" s="18">
        <f t="shared" si="0"/>
        <v>13</v>
      </c>
      <c r="C16" s="174">
        <v>409.11</v>
      </c>
      <c r="D16" s="171">
        <v>419</v>
      </c>
      <c r="E16" s="158" t="s">
        <v>431</v>
      </c>
      <c r="F16" s="299">
        <v>772697</v>
      </c>
      <c r="G16" s="266">
        <v>897136</v>
      </c>
      <c r="H16" s="266">
        <v>1097035</v>
      </c>
      <c r="I16" s="109"/>
    </row>
    <row r="17" spans="2:10" ht="18.75" customHeight="1" x14ac:dyDescent="0.25">
      <c r="B17" s="18">
        <f t="shared" si="0"/>
        <v>14</v>
      </c>
      <c r="C17" s="174"/>
      <c r="D17" s="171"/>
      <c r="E17" s="158" t="s">
        <v>432</v>
      </c>
      <c r="F17" s="297">
        <f>SUM(F14:F16)</f>
        <v>3707411</v>
      </c>
      <c r="G17" s="286">
        <f>SUM(G14:G16)</f>
        <v>3385869</v>
      </c>
      <c r="H17" s="286">
        <f>SUM(H14:H16)</f>
        <v>4947887</v>
      </c>
      <c r="J17" s="131"/>
    </row>
    <row r="18" spans="2:10" ht="18.75" customHeight="1" x14ac:dyDescent="0.25">
      <c r="B18" s="18">
        <f t="shared" si="0"/>
        <v>15</v>
      </c>
      <c r="C18" s="174"/>
      <c r="D18" s="171"/>
      <c r="E18" s="158"/>
      <c r="F18" s="298"/>
      <c r="G18" s="268"/>
      <c r="H18" s="268"/>
    </row>
    <row r="19" spans="2:10" ht="18.75" customHeight="1" x14ac:dyDescent="0.25">
      <c r="B19" s="18">
        <f t="shared" si="0"/>
        <v>16</v>
      </c>
      <c r="C19" s="174"/>
      <c r="D19" s="193" t="s">
        <v>12</v>
      </c>
      <c r="E19" s="158" t="s">
        <v>433</v>
      </c>
      <c r="F19" s="299"/>
      <c r="G19" s="266"/>
      <c r="H19" s="266"/>
    </row>
    <row r="20" spans="2:10" ht="18.75" customHeight="1" x14ac:dyDescent="0.25">
      <c r="B20" s="18">
        <f t="shared" si="0"/>
        <v>17</v>
      </c>
      <c r="C20" s="174">
        <v>410.1</v>
      </c>
      <c r="D20" s="171">
        <v>420</v>
      </c>
      <c r="E20" s="158" t="s">
        <v>434</v>
      </c>
      <c r="F20" s="299">
        <v>224156</v>
      </c>
      <c r="G20" s="266">
        <v>2504297</v>
      </c>
      <c r="H20" s="266">
        <v>1661335</v>
      </c>
    </row>
    <row r="21" spans="2:10" ht="18.75" customHeight="1" x14ac:dyDescent="0.25">
      <c r="B21" s="18">
        <f t="shared" si="0"/>
        <v>18</v>
      </c>
      <c r="C21" s="174">
        <v>410.11</v>
      </c>
      <c r="D21" s="171">
        <v>420</v>
      </c>
      <c r="E21" s="158" t="s">
        <v>435</v>
      </c>
      <c r="F21" s="299">
        <v>-118824</v>
      </c>
      <c r="G21" s="266">
        <v>9176</v>
      </c>
      <c r="H21" s="266">
        <v>2657</v>
      </c>
    </row>
    <row r="22" spans="2:10" ht="18.75" customHeight="1" x14ac:dyDescent="0.25">
      <c r="B22" s="18">
        <f t="shared" si="0"/>
        <v>19</v>
      </c>
      <c r="C22" s="174"/>
      <c r="D22" s="193" t="s">
        <v>12</v>
      </c>
      <c r="E22" s="158" t="s">
        <v>436</v>
      </c>
      <c r="F22" s="297">
        <f>SUM(F20:F21)</f>
        <v>105332</v>
      </c>
      <c r="G22" s="286">
        <f>SUM(G20:G21)</f>
        <v>2513473</v>
      </c>
      <c r="H22" s="286">
        <f>SUM(H20+H21)</f>
        <v>1663992</v>
      </c>
    </row>
    <row r="23" spans="2:10" ht="18.75" customHeight="1" x14ac:dyDescent="0.25">
      <c r="B23" s="18">
        <f t="shared" si="0"/>
        <v>20</v>
      </c>
      <c r="C23" s="174"/>
      <c r="D23" s="171"/>
      <c r="E23" s="158"/>
      <c r="F23" s="298"/>
      <c r="G23" s="268"/>
      <c r="H23" s="268"/>
    </row>
    <row r="24" spans="2:10" ht="18.75" customHeight="1" x14ac:dyDescent="0.25">
      <c r="B24" s="18">
        <f t="shared" si="0"/>
        <v>21</v>
      </c>
      <c r="C24" s="174">
        <v>412.2</v>
      </c>
      <c r="D24" s="171"/>
      <c r="E24" s="158" t="s">
        <v>437</v>
      </c>
      <c r="F24" s="299">
        <v>-39247</v>
      </c>
      <c r="G24" s="266">
        <v>-39220</v>
      </c>
      <c r="H24" s="266">
        <v>-38897</v>
      </c>
    </row>
    <row r="25" spans="2:10" ht="18.75" customHeight="1" x14ac:dyDescent="0.25">
      <c r="B25" s="18">
        <f t="shared" si="0"/>
        <v>22</v>
      </c>
      <c r="C25" s="174"/>
      <c r="D25" s="171"/>
      <c r="E25" s="158"/>
      <c r="F25" s="296"/>
      <c r="G25" s="271"/>
      <c r="H25" s="271"/>
    </row>
    <row r="26" spans="2:10" ht="18.75" customHeight="1" x14ac:dyDescent="0.25">
      <c r="B26" s="18">
        <f t="shared" si="0"/>
        <v>23</v>
      </c>
      <c r="C26" s="174"/>
      <c r="D26" s="171"/>
      <c r="E26" s="158" t="s">
        <v>438</v>
      </c>
      <c r="F26" s="297">
        <f>F6+F11+F17+F22+F24</f>
        <v>28172533</v>
      </c>
      <c r="G26" s="286">
        <f>G6+G11+G17+G22+G24</f>
        <v>29336651</v>
      </c>
      <c r="H26" s="286">
        <f>H6+H11+H17+H22+H24</f>
        <v>29630650</v>
      </c>
    </row>
    <row r="27" spans="2:10" ht="18.75" customHeight="1" x14ac:dyDescent="0.25">
      <c r="B27" s="18">
        <f t="shared" si="0"/>
        <v>24</v>
      </c>
      <c r="C27" s="174"/>
      <c r="D27" s="171"/>
      <c r="E27" s="158"/>
      <c r="F27" s="298"/>
      <c r="G27" s="268"/>
      <c r="H27" s="268"/>
    </row>
    <row r="28" spans="2:10" ht="18.75" customHeight="1" x14ac:dyDescent="0.25">
      <c r="B28" s="18">
        <f t="shared" si="0"/>
        <v>25</v>
      </c>
      <c r="C28" s="174"/>
      <c r="D28" s="171"/>
      <c r="E28" s="158" t="s">
        <v>439</v>
      </c>
      <c r="F28" s="297">
        <f>F4-F26</f>
        <v>19104823</v>
      </c>
      <c r="G28" s="286">
        <f>G4-G26</f>
        <v>18222120</v>
      </c>
      <c r="H28" s="286">
        <f>H4-H26</f>
        <v>15595966</v>
      </c>
      <c r="I28" s="383"/>
    </row>
    <row r="29" spans="2:10" ht="18.75" customHeight="1" x14ac:dyDescent="0.25">
      <c r="B29" s="18">
        <f t="shared" si="0"/>
        <v>26</v>
      </c>
      <c r="C29" s="174"/>
      <c r="D29" s="171"/>
      <c r="E29" s="158"/>
      <c r="F29" s="298"/>
      <c r="G29" s="268"/>
      <c r="H29" s="268"/>
      <c r="I29" s="383"/>
    </row>
    <row r="30" spans="2:10" ht="18.75" customHeight="1" x14ac:dyDescent="0.25">
      <c r="B30" s="18">
        <f t="shared" si="0"/>
        <v>27</v>
      </c>
      <c r="C30" s="174"/>
      <c r="D30" s="171"/>
      <c r="E30" s="158" t="s">
        <v>440</v>
      </c>
      <c r="F30" s="299"/>
      <c r="G30" s="266"/>
      <c r="H30" s="266"/>
      <c r="I30" s="599"/>
    </row>
    <row r="31" spans="2:10" ht="18.75" customHeight="1" x14ac:dyDescent="0.25">
      <c r="B31" s="18">
        <f t="shared" si="0"/>
        <v>28</v>
      </c>
      <c r="C31" s="174">
        <v>419</v>
      </c>
      <c r="D31" s="171"/>
      <c r="E31" s="158" t="s">
        <v>441</v>
      </c>
      <c r="F31" s="299">
        <v>120565</v>
      </c>
      <c r="G31" s="266">
        <v>113217</v>
      </c>
      <c r="H31" s="266">
        <v>115850</v>
      </c>
    </row>
    <row r="32" spans="2:10" ht="18.75" customHeight="1" x14ac:dyDescent="0.25">
      <c r="B32" s="18">
        <f t="shared" si="0"/>
        <v>29</v>
      </c>
      <c r="C32" s="174">
        <v>420</v>
      </c>
      <c r="D32" s="171"/>
      <c r="E32" s="158" t="s">
        <v>442</v>
      </c>
      <c r="F32" s="299">
        <v>215747</v>
      </c>
      <c r="G32" s="266">
        <v>846571</v>
      </c>
      <c r="H32" s="266">
        <v>220568</v>
      </c>
    </row>
    <row r="33" spans="2:10" ht="18.75" customHeight="1" x14ac:dyDescent="0.25">
      <c r="B33" s="18">
        <f t="shared" si="0"/>
        <v>30</v>
      </c>
      <c r="C33" s="174">
        <v>421</v>
      </c>
      <c r="D33" s="171"/>
      <c r="E33" s="158" t="s">
        <v>443</v>
      </c>
      <c r="F33" s="299">
        <v>26655</v>
      </c>
      <c r="G33" s="266">
        <v>25575</v>
      </c>
      <c r="H33" s="266">
        <v>62356</v>
      </c>
    </row>
    <row r="34" spans="2:10" ht="18.75" customHeight="1" x14ac:dyDescent="0.25">
      <c r="B34" s="18">
        <f t="shared" si="0"/>
        <v>31</v>
      </c>
      <c r="C34" s="174"/>
      <c r="D34" s="171"/>
      <c r="E34" s="158" t="s">
        <v>444</v>
      </c>
      <c r="F34" s="299">
        <f>SUM(F31:F33)</f>
        <v>362967</v>
      </c>
      <c r="G34" s="266">
        <f>SUM(G31:G33)</f>
        <v>985363</v>
      </c>
      <c r="H34" s="266">
        <f>SUM(H31:H33)</f>
        <v>398774</v>
      </c>
    </row>
    <row r="35" spans="2:10" ht="18.75" customHeight="1" x14ac:dyDescent="0.25">
      <c r="B35" s="18">
        <f>B34+1</f>
        <v>32</v>
      </c>
      <c r="C35" s="174">
        <v>426</v>
      </c>
      <c r="D35" s="171"/>
      <c r="E35" s="158" t="s">
        <v>445</v>
      </c>
      <c r="F35" s="299">
        <v>-226612</v>
      </c>
      <c r="G35" s="266">
        <v>-604419</v>
      </c>
      <c r="H35" s="266">
        <v>-772546</v>
      </c>
    </row>
    <row r="36" spans="2:10" ht="18.75" customHeight="1" x14ac:dyDescent="0.25">
      <c r="B36" s="18">
        <f t="shared" si="0"/>
        <v>33</v>
      </c>
      <c r="C36" s="174"/>
      <c r="D36" s="171"/>
      <c r="E36" s="158" t="s">
        <v>444</v>
      </c>
      <c r="F36" s="297">
        <f>SUM(F34:F35)</f>
        <v>136355</v>
      </c>
      <c r="G36" s="286">
        <f>SUM(G34:G35)</f>
        <v>380944</v>
      </c>
      <c r="H36" s="286">
        <f>SUM(H34:H35)</f>
        <v>-373772</v>
      </c>
    </row>
    <row r="37" spans="2:10" ht="18.75" customHeight="1" x14ac:dyDescent="0.25">
      <c r="B37" s="18">
        <f t="shared" si="0"/>
        <v>34</v>
      </c>
      <c r="C37" s="174"/>
      <c r="D37" s="171"/>
      <c r="E37" s="158"/>
      <c r="F37" s="298"/>
      <c r="G37" s="268"/>
      <c r="H37" s="268"/>
    </row>
    <row r="38" spans="2:10" ht="18.75" customHeight="1" x14ac:dyDescent="0.25">
      <c r="B38" s="18">
        <f t="shared" si="0"/>
        <v>35</v>
      </c>
      <c r="C38" s="174"/>
      <c r="D38" s="171"/>
      <c r="E38" s="158" t="s">
        <v>446</v>
      </c>
      <c r="F38" s="299"/>
      <c r="G38" s="266"/>
      <c r="H38" s="266"/>
    </row>
    <row r="39" spans="2:10" ht="18.75" customHeight="1" x14ac:dyDescent="0.25">
      <c r="B39" s="18">
        <f>B40+1</f>
        <v>37</v>
      </c>
      <c r="C39" s="174"/>
      <c r="D39" s="171"/>
      <c r="E39" s="416"/>
      <c r="F39" s="294"/>
      <c r="G39" s="294"/>
      <c r="H39" s="294"/>
    </row>
    <row r="40" spans="2:10" ht="18.75" customHeight="1" x14ac:dyDescent="0.25">
      <c r="B40" s="18">
        <f>B38+1</f>
        <v>36</v>
      </c>
      <c r="C40" s="174">
        <v>427</v>
      </c>
      <c r="D40" s="171"/>
      <c r="E40" s="158" t="s">
        <v>447</v>
      </c>
      <c r="F40" s="299">
        <v>5364429</v>
      </c>
      <c r="G40" s="266">
        <v>5203846</v>
      </c>
      <c r="H40" s="266">
        <v>5116666</v>
      </c>
    </row>
    <row r="41" spans="2:10" ht="18.75" customHeight="1" x14ac:dyDescent="0.25">
      <c r="B41" s="18">
        <f>B39+1</f>
        <v>38</v>
      </c>
      <c r="C41" s="174">
        <v>428</v>
      </c>
      <c r="D41" s="171"/>
      <c r="E41" s="158" t="s">
        <v>448</v>
      </c>
      <c r="F41" s="299">
        <v>133072</v>
      </c>
      <c r="G41" s="266">
        <v>133071</v>
      </c>
      <c r="H41" s="266">
        <v>144411</v>
      </c>
    </row>
    <row r="42" spans="2:10" ht="18.75" customHeight="1" x14ac:dyDescent="0.25">
      <c r="B42" s="18">
        <f t="shared" si="0"/>
        <v>39</v>
      </c>
      <c r="C42" s="174">
        <v>429</v>
      </c>
      <c r="D42" s="171"/>
      <c r="E42" s="158" t="s">
        <v>449</v>
      </c>
      <c r="F42" s="299">
        <v>11339</v>
      </c>
      <c r="G42" s="266">
        <v>11339</v>
      </c>
      <c r="H42" s="266">
        <v>0</v>
      </c>
    </row>
    <row r="43" spans="2:10" ht="18.75" customHeight="1" x14ac:dyDescent="0.25">
      <c r="B43" s="18">
        <f t="shared" si="0"/>
        <v>40</v>
      </c>
      <c r="C43" s="174"/>
      <c r="D43" s="171"/>
      <c r="E43" s="158" t="s">
        <v>450</v>
      </c>
      <c r="F43" s="297">
        <f>SUM(F40:F42)</f>
        <v>5508840</v>
      </c>
      <c r="G43" s="286">
        <f>SUM(G40:G42)</f>
        <v>5348256</v>
      </c>
      <c r="H43" s="286">
        <f>SUM(H40:H42)</f>
        <v>5261077</v>
      </c>
      <c r="J43" s="131"/>
    </row>
    <row r="44" spans="2:10" ht="18.75" customHeight="1" x14ac:dyDescent="0.25">
      <c r="B44" s="18">
        <f t="shared" si="0"/>
        <v>41</v>
      </c>
      <c r="C44" s="194"/>
      <c r="D44" s="195"/>
      <c r="E44" s="172"/>
      <c r="F44" s="331"/>
      <c r="G44" s="280"/>
      <c r="H44" s="280"/>
    </row>
    <row r="45" spans="2:10" ht="18.75" customHeight="1" x14ac:dyDescent="0.25">
      <c r="B45" s="18">
        <f t="shared" si="0"/>
        <v>42</v>
      </c>
      <c r="C45" s="146"/>
      <c r="D45" s="44"/>
      <c r="E45" s="68" t="s">
        <v>451</v>
      </c>
      <c r="F45" s="312">
        <f>F28+F36-F43</f>
        <v>13732338</v>
      </c>
      <c r="G45" s="276">
        <f>G28+G36-G43</f>
        <v>13254808</v>
      </c>
      <c r="H45" s="276">
        <f>H28+H36-H43</f>
        <v>9961117</v>
      </c>
    </row>
    <row r="46" spans="2:10" ht="18.75" customHeight="1" x14ac:dyDescent="0.25">
      <c r="B46" s="18">
        <f t="shared" si="0"/>
        <v>43</v>
      </c>
      <c r="C46" s="146"/>
      <c r="D46" s="44"/>
      <c r="E46" s="68" t="str">
        <f>E36</f>
        <v>&gt;Total Non-Operating Income and Deductions</v>
      </c>
      <c r="F46" s="312">
        <f>F36</f>
        <v>136355</v>
      </c>
      <c r="G46" s="276">
        <f t="shared" ref="G46:H46" si="1">G36</f>
        <v>380944</v>
      </c>
      <c r="H46" s="276">
        <f t="shared" si="1"/>
        <v>-373772</v>
      </c>
    </row>
    <row r="47" spans="2:10" ht="18.75" customHeight="1" x14ac:dyDescent="0.25">
      <c r="B47" s="18">
        <f t="shared" si="0"/>
        <v>44</v>
      </c>
      <c r="C47" s="146"/>
      <c r="D47" s="44"/>
      <c r="E47" s="68" t="s">
        <v>452</v>
      </c>
      <c r="F47" s="305">
        <f>F45-F46</f>
        <v>13595983</v>
      </c>
      <c r="G47" s="277">
        <f t="shared" ref="G47:H47" si="2">G45-G46</f>
        <v>12873864</v>
      </c>
      <c r="H47" s="277">
        <f t="shared" si="2"/>
        <v>10334889</v>
      </c>
    </row>
    <row r="48" spans="2:10" ht="18.75" customHeight="1" x14ac:dyDescent="0.25"/>
    <row r="49" spans="2:2" ht="18.75" customHeight="1" x14ac:dyDescent="0.25">
      <c r="B49" s="1" t="s">
        <v>453</v>
      </c>
    </row>
    <row r="50" spans="2:2" ht="18.75" customHeight="1" x14ac:dyDescent="0.25"/>
    <row r="51" spans="2:2" ht="18.75" customHeight="1" x14ac:dyDescent="0.25"/>
    <row r="52" spans="2:2" ht="18.75" customHeight="1" x14ac:dyDescent="0.25"/>
    <row r="53" spans="2:2" ht="18.75" customHeight="1" x14ac:dyDescent="0.25"/>
    <row r="54" spans="2:2" ht="18.75" customHeight="1" x14ac:dyDescent="0.25"/>
    <row r="55" spans="2:2" ht="18.75" customHeight="1" x14ac:dyDescent="0.25"/>
    <row r="56" spans="2:2" ht="18.75" customHeight="1" x14ac:dyDescent="0.25"/>
    <row r="57" spans="2:2" ht="18.75" customHeight="1" x14ac:dyDescent="0.25"/>
    <row r="58" spans="2:2" ht="18.75" customHeight="1" x14ac:dyDescent="0.25"/>
    <row r="59" spans="2:2" ht="18.75" customHeight="1" x14ac:dyDescent="0.25"/>
    <row r="60" spans="2:2" ht="18.75" customHeight="1" x14ac:dyDescent="0.25"/>
    <row r="61" spans="2:2" ht="18.75" customHeight="1" x14ac:dyDescent="0.25"/>
    <row r="62" spans="2:2" ht="18.75" customHeight="1" x14ac:dyDescent="0.25"/>
    <row r="63" spans="2:2" ht="18.75" customHeight="1" x14ac:dyDescent="0.25"/>
    <row r="64" spans="2:2" ht="18.75" customHeight="1" x14ac:dyDescent="0.25"/>
  </sheetData>
  <phoneticPr fontId="13" type="noConversion"/>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37952-73B5-4CCE-8120-455EC90D6C25}">
  <sheetPr>
    <tabColor rgb="FFF2F2F2"/>
  </sheetPr>
  <dimension ref="B1:I84"/>
  <sheetViews>
    <sheetView showGridLines="0" workbookViewId="0"/>
  </sheetViews>
  <sheetFormatPr defaultColWidth="9.140625" defaultRowHeight="12.75" x14ac:dyDescent="0.25"/>
  <cols>
    <col min="1" max="1" width="2.7109375" style="1" customWidth="1"/>
    <col min="2" max="2" width="6.7109375" style="1" customWidth="1"/>
    <col min="3" max="3" width="7.140625" style="14" customWidth="1"/>
    <col min="4" max="4" width="7.140625" style="2" customWidth="1"/>
    <col min="5" max="5" width="43.85546875" style="1" customWidth="1"/>
    <col min="6" max="6" width="14.7109375" style="1" customWidth="1"/>
    <col min="7" max="8" width="14.7109375" style="10" customWidth="1"/>
    <col min="9" max="16384" width="9.140625" style="1"/>
  </cols>
  <sheetData>
    <row r="1" spans="2:9" s="9" customFormat="1" ht="9.75" customHeight="1" x14ac:dyDescent="0.25">
      <c r="B1" s="80"/>
      <c r="H1" s="620"/>
      <c r="I1" s="615"/>
    </row>
    <row r="2" spans="2:9" s="138" customFormat="1" ht="37.5" customHeight="1" x14ac:dyDescent="0.25">
      <c r="B2" s="50" t="s">
        <v>454</v>
      </c>
      <c r="C2" s="673"/>
      <c r="D2" s="500"/>
      <c r="G2" s="674"/>
      <c r="H2" s="674"/>
      <c r="I2" s="675" t="s">
        <v>12</v>
      </c>
    </row>
    <row r="3" spans="2:9" ht="18.75" customHeight="1" x14ac:dyDescent="0.25">
      <c r="B3" s="256" t="s">
        <v>13</v>
      </c>
      <c r="C3" s="257" t="s">
        <v>54</v>
      </c>
      <c r="D3" s="256" t="s">
        <v>188</v>
      </c>
      <c r="E3" s="256" t="s">
        <v>55</v>
      </c>
      <c r="F3" s="256" t="s">
        <v>455</v>
      </c>
      <c r="G3" s="262" t="s">
        <v>456</v>
      </c>
      <c r="H3" s="262" t="s">
        <v>457</v>
      </c>
    </row>
    <row r="4" spans="2:9" ht="18.75" customHeight="1" x14ac:dyDescent="0.25">
      <c r="B4" s="18">
        <v>1</v>
      </c>
      <c r="C4" s="174">
        <v>400</v>
      </c>
      <c r="D4" s="171">
        <v>401</v>
      </c>
      <c r="E4" s="158" t="s">
        <v>422</v>
      </c>
      <c r="F4" s="293">
        <v>47277356</v>
      </c>
      <c r="G4" s="293">
        <f>'23-Rev require'!H14</f>
        <v>38515399.399999999</v>
      </c>
      <c r="H4" s="293">
        <f>'23-Rev require'!K14</f>
        <v>35864290.200000003</v>
      </c>
    </row>
    <row r="5" spans="2:9" ht="18.75" customHeight="1" x14ac:dyDescent="0.25">
      <c r="B5" s="18">
        <f t="shared" ref="B5:B55" si="0">B4+1</f>
        <v>2</v>
      </c>
      <c r="C5" s="174"/>
      <c r="D5" s="171"/>
      <c r="E5" s="158"/>
      <c r="F5" s="268"/>
      <c r="G5" s="268"/>
      <c r="H5" s="268"/>
    </row>
    <row r="6" spans="2:9" ht="18.75" customHeight="1" x14ac:dyDescent="0.25">
      <c r="B6" s="18">
        <f t="shared" si="0"/>
        <v>3</v>
      </c>
      <c r="C6" s="174">
        <v>401</v>
      </c>
      <c r="D6" s="171">
        <v>407</v>
      </c>
      <c r="E6" s="158" t="s">
        <v>423</v>
      </c>
      <c r="F6" s="286">
        <f>'18-Expenses'!F63</f>
        <v>17479046</v>
      </c>
      <c r="G6" s="286">
        <f>F6</f>
        <v>17479046</v>
      </c>
      <c r="H6" s="286">
        <f>G6</f>
        <v>17479046</v>
      </c>
    </row>
    <row r="7" spans="2:9" ht="18.75" customHeight="1" x14ac:dyDescent="0.25">
      <c r="B7" s="18">
        <f t="shared" si="0"/>
        <v>4</v>
      </c>
      <c r="C7" s="174"/>
      <c r="D7" s="171"/>
      <c r="E7" s="158"/>
      <c r="F7" s="268"/>
      <c r="G7" s="268"/>
      <c r="H7" s="268"/>
    </row>
    <row r="8" spans="2:9" ht="18.75" customHeight="1" x14ac:dyDescent="0.25">
      <c r="B8" s="18">
        <f t="shared" si="0"/>
        <v>5</v>
      </c>
      <c r="C8" s="174"/>
      <c r="D8" s="171"/>
      <c r="E8" s="158" t="s">
        <v>424</v>
      </c>
      <c r="F8" s="266"/>
      <c r="G8" s="266"/>
      <c r="H8" s="266"/>
    </row>
    <row r="9" spans="2:9" ht="18.75" customHeight="1" x14ac:dyDescent="0.25">
      <c r="B9" s="18">
        <f t="shared" si="0"/>
        <v>6</v>
      </c>
      <c r="C9" s="174">
        <v>403</v>
      </c>
      <c r="D9" s="171"/>
      <c r="E9" s="158" t="s">
        <v>425</v>
      </c>
      <c r="F9" s="266">
        <v>6968013</v>
      </c>
      <c r="G9" s="266">
        <f>F9</f>
        <v>6968013</v>
      </c>
      <c r="H9" s="266">
        <f>G9</f>
        <v>6968013</v>
      </c>
    </row>
    <row r="10" spans="2:9" ht="18.75" customHeight="1" x14ac:dyDescent="0.25">
      <c r="B10" s="18">
        <f t="shared" si="0"/>
        <v>7</v>
      </c>
      <c r="C10" s="174">
        <v>406</v>
      </c>
      <c r="D10" s="171">
        <v>417</v>
      </c>
      <c r="E10" s="158" t="s">
        <v>426</v>
      </c>
      <c r="F10" s="266">
        <v>-48022</v>
      </c>
      <c r="G10" s="266">
        <f>F10</f>
        <v>-48022</v>
      </c>
      <c r="H10" s="266">
        <f>G10</f>
        <v>-48022</v>
      </c>
    </row>
    <row r="11" spans="2:9" ht="18.75" customHeight="1" x14ac:dyDescent="0.25">
      <c r="B11" s="18">
        <f t="shared" si="0"/>
        <v>8</v>
      </c>
      <c r="C11" s="174"/>
      <c r="D11" s="171"/>
      <c r="E11" s="158" t="s">
        <v>427</v>
      </c>
      <c r="F11" s="286">
        <f>SUM(F9:F10)</f>
        <v>6919991</v>
      </c>
      <c r="G11" s="286">
        <f>SUM(G9:G10)</f>
        <v>6919991</v>
      </c>
      <c r="H11" s="286">
        <f>SUM(H9:H10)</f>
        <v>6919991</v>
      </c>
    </row>
    <row r="12" spans="2:9" ht="18.75" customHeight="1" x14ac:dyDescent="0.25">
      <c r="B12" s="18">
        <f t="shared" si="0"/>
        <v>9</v>
      </c>
      <c r="C12" s="174"/>
      <c r="D12" s="171"/>
      <c r="E12" s="158"/>
      <c r="F12" s="268"/>
      <c r="G12" s="268"/>
      <c r="H12" s="268"/>
    </row>
    <row r="13" spans="2:9" ht="18.75" customHeight="1" x14ac:dyDescent="0.25">
      <c r="B13" s="18">
        <f t="shared" si="0"/>
        <v>10</v>
      </c>
      <c r="C13" s="174"/>
      <c r="D13" s="171"/>
      <c r="E13" s="158" t="s">
        <v>428</v>
      </c>
      <c r="F13" s="266"/>
      <c r="G13" s="266"/>
      <c r="H13" s="266"/>
    </row>
    <row r="14" spans="2:9" ht="18.75" customHeight="1" x14ac:dyDescent="0.25">
      <c r="B14" s="18">
        <f t="shared" si="0"/>
        <v>11</v>
      </c>
      <c r="C14" s="174">
        <v>408</v>
      </c>
      <c r="D14" s="171">
        <v>419</v>
      </c>
      <c r="E14" s="158" t="s">
        <v>429</v>
      </c>
      <c r="F14" s="266">
        <v>1118933</v>
      </c>
      <c r="G14" s="294"/>
      <c r="H14" s="294"/>
    </row>
    <row r="15" spans="2:9" ht="18.75" customHeight="1" x14ac:dyDescent="0.25">
      <c r="B15" s="18">
        <f t="shared" si="0"/>
        <v>12</v>
      </c>
      <c r="C15" s="174">
        <v>409.1</v>
      </c>
      <c r="D15" s="171">
        <v>419</v>
      </c>
      <c r="E15" s="158" t="s">
        <v>430</v>
      </c>
      <c r="F15" s="266">
        <v>1815781</v>
      </c>
      <c r="G15" s="294"/>
      <c r="H15" s="294"/>
    </row>
    <row r="16" spans="2:9" ht="18.75" customHeight="1" x14ac:dyDescent="0.25">
      <c r="B16" s="18">
        <f t="shared" si="0"/>
        <v>13</v>
      </c>
      <c r="C16" s="174">
        <v>409.11</v>
      </c>
      <c r="D16" s="171">
        <v>419</v>
      </c>
      <c r="E16" s="158" t="s">
        <v>431</v>
      </c>
      <c r="F16" s="266">
        <v>772697</v>
      </c>
      <c r="G16" s="294"/>
      <c r="H16" s="294"/>
    </row>
    <row r="17" spans="2:9" ht="18.75" customHeight="1" x14ac:dyDescent="0.25">
      <c r="B17" s="18">
        <f t="shared" si="0"/>
        <v>14</v>
      </c>
      <c r="C17" s="174"/>
      <c r="D17" s="171"/>
      <c r="E17" s="158" t="s">
        <v>458</v>
      </c>
      <c r="F17" s="295"/>
      <c r="G17" s="296">
        <f>F14*0.8</f>
        <v>895146.4</v>
      </c>
      <c r="H17" s="296">
        <f>G17/2</f>
        <v>447573.2</v>
      </c>
    </row>
    <row r="18" spans="2:9" ht="18.75" customHeight="1" x14ac:dyDescent="0.25">
      <c r="B18" s="18">
        <f t="shared" si="0"/>
        <v>15</v>
      </c>
      <c r="C18" s="174"/>
      <c r="D18" s="171"/>
      <c r="E18" s="158" t="s">
        <v>432</v>
      </c>
      <c r="F18" s="286">
        <f>SUM(F14:F16)</f>
        <v>3707411</v>
      </c>
      <c r="G18" s="297">
        <f>SUM(G14:G17)</f>
        <v>895146.4</v>
      </c>
      <c r="H18" s="297">
        <f>SUM(H14:H17)</f>
        <v>447573.2</v>
      </c>
      <c r="I18" s="131"/>
    </row>
    <row r="19" spans="2:9" ht="18.75" customHeight="1" x14ac:dyDescent="0.25">
      <c r="B19" s="18">
        <f t="shared" si="0"/>
        <v>16</v>
      </c>
      <c r="C19" s="174"/>
      <c r="D19" s="171"/>
      <c r="E19" s="158"/>
      <c r="F19" s="268"/>
      <c r="G19" s="298"/>
      <c r="H19" s="298"/>
    </row>
    <row r="20" spans="2:9" ht="18.75" customHeight="1" x14ac:dyDescent="0.25">
      <c r="B20" s="18">
        <f t="shared" si="0"/>
        <v>17</v>
      </c>
      <c r="C20" s="174"/>
      <c r="D20" s="193" t="s">
        <v>12</v>
      </c>
      <c r="E20" s="158" t="s">
        <v>433</v>
      </c>
      <c r="F20" s="266"/>
      <c r="G20" s="299"/>
      <c r="H20" s="299"/>
    </row>
    <row r="21" spans="2:9" ht="18.75" customHeight="1" x14ac:dyDescent="0.25">
      <c r="B21" s="18">
        <f t="shared" si="0"/>
        <v>18</v>
      </c>
      <c r="C21" s="174">
        <v>410.1</v>
      </c>
      <c r="D21" s="171">
        <v>420</v>
      </c>
      <c r="E21" s="158" t="s">
        <v>434</v>
      </c>
      <c r="F21" s="266">
        <v>224156</v>
      </c>
      <c r="G21" s="294"/>
      <c r="H21" s="294"/>
    </row>
    <row r="22" spans="2:9" ht="18.75" customHeight="1" x14ac:dyDescent="0.25">
      <c r="B22" s="18">
        <f t="shared" si="0"/>
        <v>19</v>
      </c>
      <c r="C22" s="174">
        <v>410.11</v>
      </c>
      <c r="D22" s="171">
        <v>420</v>
      </c>
      <c r="E22" s="158" t="s">
        <v>435</v>
      </c>
      <c r="F22" s="266">
        <v>-118824</v>
      </c>
      <c r="G22" s="294"/>
      <c r="H22" s="294"/>
    </row>
    <row r="23" spans="2:9" ht="18.75" customHeight="1" x14ac:dyDescent="0.25">
      <c r="B23" s="18">
        <f t="shared" si="0"/>
        <v>20</v>
      </c>
      <c r="C23" s="174"/>
      <c r="D23" s="193" t="s">
        <v>12</v>
      </c>
      <c r="E23" s="158" t="s">
        <v>436</v>
      </c>
      <c r="F23" s="286">
        <f>SUM(F21:F22)</f>
        <v>105332</v>
      </c>
      <c r="G23" s="639"/>
      <c r="H23" s="639"/>
    </row>
    <row r="24" spans="2:9" ht="18.75" customHeight="1" x14ac:dyDescent="0.25">
      <c r="B24" s="18">
        <f t="shared" si="0"/>
        <v>21</v>
      </c>
      <c r="C24" s="174"/>
      <c r="D24" s="171"/>
      <c r="E24" s="158"/>
      <c r="F24" s="268"/>
      <c r="G24" s="298"/>
      <c r="H24" s="298"/>
    </row>
    <row r="25" spans="2:9" ht="18.75" customHeight="1" x14ac:dyDescent="0.25">
      <c r="B25" s="18">
        <f t="shared" si="0"/>
        <v>22</v>
      </c>
      <c r="C25" s="174">
        <v>412.2</v>
      </c>
      <c r="D25" s="171"/>
      <c r="E25" s="158" t="s">
        <v>437</v>
      </c>
      <c r="F25" s="266">
        <v>-39247</v>
      </c>
      <c r="G25" s="294"/>
      <c r="H25" s="294"/>
    </row>
    <row r="26" spans="2:9" ht="18.75" customHeight="1" x14ac:dyDescent="0.25">
      <c r="B26" s="18">
        <f t="shared" si="0"/>
        <v>23</v>
      </c>
      <c r="C26" s="174"/>
      <c r="D26" s="171"/>
      <c r="E26" s="158"/>
      <c r="F26" s="271"/>
      <c r="G26" s="296"/>
      <c r="H26" s="296"/>
    </row>
    <row r="27" spans="2:9" ht="18.75" customHeight="1" x14ac:dyDescent="0.25">
      <c r="B27" s="18">
        <f t="shared" si="0"/>
        <v>24</v>
      </c>
      <c r="C27" s="174"/>
      <c r="D27" s="171"/>
      <c r="E27" s="158" t="s">
        <v>438</v>
      </c>
      <c r="F27" s="286">
        <f>F6+F11+F18+F23+F25</f>
        <v>28172533</v>
      </c>
      <c r="G27" s="286">
        <f>G6+G11+G18+G23+G25</f>
        <v>25294183.399999999</v>
      </c>
      <c r="H27" s="286">
        <f>H6+H11+H18+H23+H25</f>
        <v>24846610.199999999</v>
      </c>
    </row>
    <row r="28" spans="2:9" ht="18.75" customHeight="1" x14ac:dyDescent="0.25">
      <c r="B28" s="18">
        <f t="shared" si="0"/>
        <v>25</v>
      </c>
      <c r="C28" s="174"/>
      <c r="D28" s="171"/>
      <c r="E28" s="158"/>
      <c r="F28" s="268"/>
      <c r="G28" s="298"/>
      <c r="H28" s="298"/>
    </row>
    <row r="29" spans="2:9" ht="18.75" customHeight="1" x14ac:dyDescent="0.25">
      <c r="B29" s="18">
        <f t="shared" si="0"/>
        <v>26</v>
      </c>
      <c r="C29" s="174"/>
      <c r="D29" s="171"/>
      <c r="E29" s="158" t="s">
        <v>459</v>
      </c>
      <c r="F29" s="286">
        <f>F4-F27</f>
        <v>19104823</v>
      </c>
      <c r="G29" s="297">
        <f>G4-G27</f>
        <v>13221216</v>
      </c>
      <c r="H29" s="297">
        <f>H4-H27</f>
        <v>11017680.000000004</v>
      </c>
    </row>
    <row r="30" spans="2:9" ht="18.75" customHeight="1" x14ac:dyDescent="0.25">
      <c r="B30" s="18">
        <f t="shared" si="0"/>
        <v>27</v>
      </c>
      <c r="C30" s="174"/>
      <c r="D30" s="171"/>
      <c r="E30" s="158"/>
      <c r="F30" s="268"/>
      <c r="G30" s="298"/>
      <c r="H30" s="298"/>
    </row>
    <row r="31" spans="2:9" ht="18.75" customHeight="1" x14ac:dyDescent="0.25">
      <c r="B31" s="18">
        <f t="shared" si="0"/>
        <v>28</v>
      </c>
      <c r="C31" s="174"/>
      <c r="D31" s="171"/>
      <c r="E31" s="158" t="s">
        <v>440</v>
      </c>
      <c r="F31" s="266"/>
      <c r="G31" s="299"/>
      <c r="H31" s="299"/>
    </row>
    <row r="32" spans="2:9" ht="18.75" customHeight="1" x14ac:dyDescent="0.25">
      <c r="B32" s="18">
        <f t="shared" si="0"/>
        <v>29</v>
      </c>
      <c r="C32" s="174">
        <v>419</v>
      </c>
      <c r="D32" s="171"/>
      <c r="E32" s="158" t="s">
        <v>441</v>
      </c>
      <c r="F32" s="266">
        <v>120565</v>
      </c>
      <c r="G32" s="294" t="s">
        <v>12</v>
      </c>
      <c r="H32" s="294" t="s">
        <v>12</v>
      </c>
    </row>
    <row r="33" spans="2:9" ht="18.75" customHeight="1" x14ac:dyDescent="0.25">
      <c r="B33" s="18">
        <f t="shared" si="0"/>
        <v>30</v>
      </c>
      <c r="C33" s="174">
        <v>420</v>
      </c>
      <c r="D33" s="171"/>
      <c r="E33" s="158" t="s">
        <v>442</v>
      </c>
      <c r="F33" s="266">
        <v>215747</v>
      </c>
      <c r="G33" s="294" t="s">
        <v>12</v>
      </c>
      <c r="H33" s="294" t="s">
        <v>12</v>
      </c>
    </row>
    <row r="34" spans="2:9" ht="18.75" customHeight="1" x14ac:dyDescent="0.25">
      <c r="B34" s="18">
        <f t="shared" si="0"/>
        <v>31</v>
      </c>
      <c r="C34" s="174">
        <v>421</v>
      </c>
      <c r="D34" s="171"/>
      <c r="E34" s="158" t="s">
        <v>443</v>
      </c>
      <c r="F34" s="266">
        <v>26655</v>
      </c>
      <c r="G34" s="294" t="s">
        <v>12</v>
      </c>
      <c r="H34" s="294" t="s">
        <v>12</v>
      </c>
    </row>
    <row r="35" spans="2:9" ht="18.75" customHeight="1" x14ac:dyDescent="0.25">
      <c r="B35" s="18">
        <f t="shared" si="0"/>
        <v>32</v>
      </c>
      <c r="C35" s="174"/>
      <c r="D35" s="171"/>
      <c r="E35" s="158" t="s">
        <v>444</v>
      </c>
      <c r="F35" s="266">
        <f>SUM(F32:F34)</f>
        <v>362967</v>
      </c>
      <c r="G35" s="294" t="s">
        <v>12</v>
      </c>
      <c r="H35" s="294" t="s">
        <v>12</v>
      </c>
    </row>
    <row r="36" spans="2:9" ht="18.75" customHeight="1" x14ac:dyDescent="0.25">
      <c r="B36" s="18">
        <f t="shared" si="0"/>
        <v>33</v>
      </c>
      <c r="C36" s="174">
        <v>426</v>
      </c>
      <c r="D36" s="171"/>
      <c r="E36" s="158" t="s">
        <v>445</v>
      </c>
      <c r="F36" s="266">
        <v>-226612</v>
      </c>
      <c r="G36" s="294" t="s">
        <v>12</v>
      </c>
      <c r="H36" s="294" t="s">
        <v>12</v>
      </c>
    </row>
    <row r="37" spans="2:9" ht="18.75" customHeight="1" x14ac:dyDescent="0.25">
      <c r="B37" s="18">
        <f t="shared" si="0"/>
        <v>34</v>
      </c>
      <c r="C37" s="174"/>
      <c r="D37" s="171"/>
      <c r="E37" s="158" t="s">
        <v>444</v>
      </c>
      <c r="F37" s="286">
        <f>SUM(F35:F36)</f>
        <v>136355</v>
      </c>
      <c r="G37" s="639" t="s">
        <v>12</v>
      </c>
      <c r="H37" s="639" t="s">
        <v>12</v>
      </c>
    </row>
    <row r="38" spans="2:9" ht="18.75" customHeight="1" x14ac:dyDescent="0.25">
      <c r="B38" s="18">
        <f t="shared" si="0"/>
        <v>35</v>
      </c>
      <c r="C38" s="174"/>
      <c r="D38" s="171"/>
      <c r="E38" s="158"/>
      <c r="F38" s="268"/>
      <c r="G38" s="298"/>
      <c r="H38" s="298"/>
    </row>
    <row r="39" spans="2:9" ht="18.75" customHeight="1" x14ac:dyDescent="0.25">
      <c r="B39" s="18">
        <f t="shared" si="0"/>
        <v>36</v>
      </c>
      <c r="C39" s="174"/>
      <c r="D39" s="171"/>
      <c r="E39" s="158" t="s">
        <v>446</v>
      </c>
      <c r="F39" s="266"/>
      <c r="G39" s="299"/>
      <c r="H39" s="299"/>
    </row>
    <row r="40" spans="2:9" ht="18.75" customHeight="1" x14ac:dyDescent="0.25">
      <c r="B40" s="18">
        <f t="shared" si="0"/>
        <v>37</v>
      </c>
      <c r="C40" s="174"/>
      <c r="D40" s="171"/>
      <c r="E40" s="158" t="s">
        <v>460</v>
      </c>
      <c r="F40" s="294"/>
      <c r="G40" s="299">
        <f>'23-Rev require'!H22</f>
        <v>1762828.8</v>
      </c>
      <c r="H40" s="299">
        <f>'23-Rev require'!K22</f>
        <v>1101768</v>
      </c>
    </row>
    <row r="41" spans="2:9" ht="18.75" customHeight="1" x14ac:dyDescent="0.25">
      <c r="B41" s="18">
        <f t="shared" si="0"/>
        <v>38</v>
      </c>
      <c r="C41" s="174">
        <v>427</v>
      </c>
      <c r="D41" s="171"/>
      <c r="E41" s="158" t="s">
        <v>447</v>
      </c>
      <c r="F41" s="266">
        <v>5364429</v>
      </c>
      <c r="G41" s="299">
        <f>F45*1.6</f>
        <v>8814144</v>
      </c>
      <c r="H41" s="299">
        <f>'23-Rev require'!K21</f>
        <v>5508840</v>
      </c>
    </row>
    <row r="42" spans="2:9" ht="18.75" customHeight="1" x14ac:dyDescent="0.25">
      <c r="B42" s="18">
        <f t="shared" si="0"/>
        <v>39</v>
      </c>
      <c r="C42" s="174"/>
      <c r="D42" s="171"/>
      <c r="E42" s="158" t="s">
        <v>461</v>
      </c>
      <c r="F42" s="294"/>
      <c r="G42" s="299">
        <f>SUM(G40:G41)</f>
        <v>10576972.800000001</v>
      </c>
      <c r="H42" s="299">
        <f>SUM(H40:H41)</f>
        <v>6610608</v>
      </c>
    </row>
    <row r="43" spans="2:9" ht="18.75" customHeight="1" x14ac:dyDescent="0.25">
      <c r="B43" s="18">
        <f t="shared" si="0"/>
        <v>40</v>
      </c>
      <c r="C43" s="174">
        <v>428</v>
      </c>
      <c r="D43" s="171"/>
      <c r="E43" s="158" t="s">
        <v>448</v>
      </c>
      <c r="F43" s="266">
        <v>133072</v>
      </c>
      <c r="G43" s="294" t="s">
        <v>12</v>
      </c>
      <c r="H43" s="294" t="s">
        <v>12</v>
      </c>
    </row>
    <row r="44" spans="2:9" ht="18.75" customHeight="1" x14ac:dyDescent="0.25">
      <c r="B44" s="18">
        <f t="shared" si="0"/>
        <v>41</v>
      </c>
      <c r="C44" s="174">
        <v>429</v>
      </c>
      <c r="D44" s="171"/>
      <c r="E44" s="158" t="s">
        <v>449</v>
      </c>
      <c r="F44" s="266">
        <v>11339</v>
      </c>
      <c r="G44" s="294" t="s">
        <v>12</v>
      </c>
      <c r="H44" s="294" t="s">
        <v>12</v>
      </c>
    </row>
    <row r="45" spans="2:9" ht="18.75" customHeight="1" x14ac:dyDescent="0.25">
      <c r="B45" s="18">
        <f t="shared" si="0"/>
        <v>42</v>
      </c>
      <c r="C45" s="194"/>
      <c r="D45" s="195"/>
      <c r="E45" s="172" t="s">
        <v>450</v>
      </c>
      <c r="F45" s="286">
        <f>SUM(F41:F44)</f>
        <v>5508840</v>
      </c>
      <c r="G45" s="639" t="s">
        <v>12</v>
      </c>
      <c r="H45" s="639" t="s">
        <v>12</v>
      </c>
      <c r="I45" s="131"/>
    </row>
    <row r="46" spans="2:9" ht="18.75" customHeight="1" x14ac:dyDescent="0.25">
      <c r="B46" s="18">
        <f t="shared" si="0"/>
        <v>43</v>
      </c>
      <c r="C46" s="146"/>
      <c r="D46" s="44"/>
      <c r="E46" s="465"/>
      <c r="F46" s="632"/>
      <c r="G46" s="633"/>
      <c r="H46" s="633"/>
    </row>
    <row r="47" spans="2:9" ht="18.75" customHeight="1" x14ac:dyDescent="0.25">
      <c r="B47" s="18">
        <f t="shared" si="0"/>
        <v>44</v>
      </c>
      <c r="C47" s="146"/>
      <c r="D47" s="634"/>
      <c r="E47" s="208" t="s">
        <v>451</v>
      </c>
      <c r="F47" s="276"/>
      <c r="G47" s="312"/>
      <c r="H47" s="312"/>
    </row>
    <row r="48" spans="2:9" ht="18.75" customHeight="1" x14ac:dyDescent="0.25">
      <c r="B48" s="18">
        <f t="shared" si="0"/>
        <v>45</v>
      </c>
      <c r="C48" s="146"/>
      <c r="D48" s="634"/>
      <c r="E48" s="68" t="s">
        <v>459</v>
      </c>
      <c r="F48" s="276">
        <f>F29</f>
        <v>19104823</v>
      </c>
      <c r="G48" s="276">
        <f t="shared" ref="G48:H48" si="1">G29</f>
        <v>13221216</v>
      </c>
      <c r="H48" s="276">
        <f t="shared" si="1"/>
        <v>11017680.000000004</v>
      </c>
    </row>
    <row r="49" spans="2:8" ht="18.75" customHeight="1" x14ac:dyDescent="0.25">
      <c r="B49" s="18">
        <f t="shared" si="0"/>
        <v>46</v>
      </c>
      <c r="C49" s="146"/>
      <c r="D49" s="634"/>
      <c r="E49" s="68" t="str">
        <f>E41</f>
        <v>Interest Expense</v>
      </c>
      <c r="F49" s="276">
        <f>F41</f>
        <v>5364429</v>
      </c>
      <c r="G49" s="294" t="s">
        <v>12</v>
      </c>
      <c r="H49" s="294" t="s">
        <v>12</v>
      </c>
    </row>
    <row r="50" spans="2:8" ht="18.75" customHeight="1" x14ac:dyDescent="0.25">
      <c r="B50" s="18">
        <f t="shared" si="0"/>
        <v>47</v>
      </c>
      <c r="C50" s="146"/>
      <c r="D50" s="634"/>
      <c r="E50" s="68" t="s">
        <v>461</v>
      </c>
      <c r="F50" s="635" t="s">
        <v>12</v>
      </c>
      <c r="G50" s="276">
        <f>G42</f>
        <v>10576972.800000001</v>
      </c>
      <c r="H50" s="276">
        <f>H42</f>
        <v>6610608</v>
      </c>
    </row>
    <row r="51" spans="2:8" ht="18.75" customHeight="1" x14ac:dyDescent="0.25">
      <c r="B51" s="18">
        <f t="shared" si="0"/>
        <v>48</v>
      </c>
      <c r="C51" s="146"/>
      <c r="D51" s="634"/>
      <c r="E51" s="68" t="s">
        <v>462</v>
      </c>
      <c r="F51" s="276">
        <f>F29+F37-F45</f>
        <v>13732338</v>
      </c>
      <c r="G51" s="635" t="s">
        <v>12</v>
      </c>
      <c r="H51" s="635" t="s">
        <v>12</v>
      </c>
    </row>
    <row r="52" spans="2:8" ht="18.75" customHeight="1" x14ac:dyDescent="0.25">
      <c r="B52" s="18">
        <f t="shared" si="0"/>
        <v>49</v>
      </c>
      <c r="C52" s="146"/>
      <c r="D52" s="634"/>
      <c r="E52" s="208" t="str">
        <f>E37</f>
        <v>&gt;Total Non-Operating Income and Deductions</v>
      </c>
      <c r="F52" s="276">
        <f>F37</f>
        <v>136355</v>
      </c>
      <c r="G52" s="638" t="s">
        <v>12</v>
      </c>
      <c r="H52" s="638" t="s">
        <v>12</v>
      </c>
    </row>
    <row r="53" spans="2:8" ht="18.75" customHeight="1" x14ac:dyDescent="0.25">
      <c r="B53" s="18">
        <f t="shared" si="0"/>
        <v>50</v>
      </c>
      <c r="C53" s="146"/>
      <c r="D53" s="44"/>
      <c r="E53" s="627" t="s">
        <v>463</v>
      </c>
      <c r="F53" s="636">
        <f>F51-F52</f>
        <v>13595983</v>
      </c>
      <c r="G53" s="304" t="s">
        <v>12</v>
      </c>
      <c r="H53" s="304" t="s">
        <v>12</v>
      </c>
    </row>
    <row r="54" spans="2:8" ht="18.75" customHeight="1" x14ac:dyDescent="0.25">
      <c r="B54" s="18">
        <f t="shared" si="0"/>
        <v>51</v>
      </c>
      <c r="C54" s="146"/>
      <c r="D54" s="44"/>
      <c r="E54" s="465"/>
      <c r="F54" s="637"/>
      <c r="G54" s="633"/>
      <c r="H54" s="633"/>
    </row>
    <row r="55" spans="2:8" ht="18.75" customHeight="1" x14ac:dyDescent="0.25">
      <c r="B55" s="18">
        <f t="shared" si="0"/>
        <v>52</v>
      </c>
      <c r="C55" s="146"/>
      <c r="D55" s="44"/>
      <c r="E55" s="208" t="s">
        <v>464</v>
      </c>
      <c r="F55" s="304"/>
      <c r="G55" s="305">
        <f>'23-Rev require'!H35</f>
        <v>2644243.1999999993</v>
      </c>
      <c r="H55" s="305">
        <f>'23-Rev require'!K35</f>
        <v>4407072.0000000037</v>
      </c>
    </row>
    <row r="56" spans="2:8" ht="18.75" customHeight="1" x14ac:dyDescent="0.25"/>
    <row r="57" spans="2:8" ht="18.75" customHeight="1" x14ac:dyDescent="0.25">
      <c r="B57" s="1" t="s">
        <v>465</v>
      </c>
      <c r="F57" s="131" t="s">
        <v>12</v>
      </c>
      <c r="G57" s="10" t="s">
        <v>12</v>
      </c>
      <c r="H57" s="10" t="s">
        <v>12</v>
      </c>
    </row>
    <row r="58" spans="2:8" ht="18.75" customHeight="1" x14ac:dyDescent="0.25"/>
    <row r="59" spans="2:8" ht="18.75" customHeight="1" x14ac:dyDescent="0.25"/>
    <row r="60" spans="2:8" ht="18.75" customHeight="1" x14ac:dyDescent="0.25"/>
    <row r="61" spans="2:8" ht="18.75" customHeight="1" x14ac:dyDescent="0.25"/>
    <row r="62" spans="2:8" ht="18.75" customHeight="1" x14ac:dyDescent="0.25"/>
    <row r="63" spans="2:8" ht="18.75" customHeight="1" x14ac:dyDescent="0.25"/>
    <row r="64" spans="2:8" ht="18.75" customHeight="1" x14ac:dyDescent="0.25"/>
    <row r="65" ht="18.75" customHeight="1" x14ac:dyDescent="0.25"/>
    <row r="66" ht="18.75" customHeight="1" x14ac:dyDescent="0.25"/>
    <row r="67" ht="18.75" customHeight="1" x14ac:dyDescent="0.25"/>
    <row r="68" ht="18.75" customHeight="1" x14ac:dyDescent="0.25"/>
    <row r="69" ht="18.75" customHeight="1" x14ac:dyDescent="0.25"/>
    <row r="70" ht="18.75" customHeight="1" x14ac:dyDescent="0.25"/>
    <row r="71" ht="18.75" customHeight="1" x14ac:dyDescent="0.25"/>
    <row r="72" ht="18.75" customHeight="1" x14ac:dyDescent="0.25"/>
    <row r="73" ht="18.75" customHeight="1" x14ac:dyDescent="0.25"/>
    <row r="74" ht="18.75" customHeight="1" x14ac:dyDescent="0.25"/>
    <row r="75" ht="18.75" customHeight="1" x14ac:dyDescent="0.25"/>
    <row r="76" ht="18.75" customHeight="1" x14ac:dyDescent="0.25"/>
    <row r="77" ht="18.75" customHeight="1" x14ac:dyDescent="0.25"/>
    <row r="78" ht="18.75" customHeight="1" x14ac:dyDescent="0.25"/>
    <row r="79" ht="18.75" customHeight="1" x14ac:dyDescent="0.25"/>
    <row r="80" ht="18.75" customHeight="1" x14ac:dyDescent="0.25"/>
    <row r="81" ht="18.75" customHeight="1" x14ac:dyDescent="0.25"/>
    <row r="82" ht="18.75" customHeight="1" x14ac:dyDescent="0.25"/>
    <row r="83" ht="18.75" customHeight="1" x14ac:dyDescent="0.25"/>
    <row r="84" ht="18.75" customHeight="1" x14ac:dyDescent="0.25"/>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56"/>
  <sheetViews>
    <sheetView showGridLines="0" topLeftCell="A12" zoomScale="125" zoomScaleNormal="125" zoomScalePageLayoutView="125" workbookViewId="0"/>
  </sheetViews>
  <sheetFormatPr defaultColWidth="10.85546875" defaultRowHeight="14.1" customHeight="1" x14ac:dyDescent="0.25"/>
  <cols>
    <col min="1" max="1" width="2.7109375" style="1" customWidth="1"/>
    <col min="2" max="2" width="6.7109375" style="1" customWidth="1"/>
    <col min="3" max="3" width="7.140625" style="14" customWidth="1"/>
    <col min="4" max="4" width="41.42578125" style="1" customWidth="1"/>
    <col min="5" max="7" width="14.7109375" style="1" customWidth="1"/>
    <col min="8" max="16384" width="10.85546875" style="1"/>
  </cols>
  <sheetData>
    <row r="1" spans="2:7" s="9" customFormat="1" ht="9.75" customHeight="1" x14ac:dyDescent="0.25">
      <c r="B1" s="80"/>
    </row>
    <row r="2" spans="2:7" s="112" customFormat="1" ht="37.5" customHeight="1" x14ac:dyDescent="0.25">
      <c r="B2" s="50" t="s">
        <v>466</v>
      </c>
      <c r="C2" s="111"/>
    </row>
    <row r="3" spans="2:7" ht="18.75" customHeight="1" x14ac:dyDescent="0.25">
      <c r="B3" s="256" t="s">
        <v>13</v>
      </c>
      <c r="C3" s="257" t="s">
        <v>54</v>
      </c>
      <c r="D3" s="256" t="s">
        <v>55</v>
      </c>
      <c r="E3" s="256">
        <v>2018</v>
      </c>
      <c r="F3" s="256">
        <v>2017</v>
      </c>
      <c r="G3" s="256">
        <v>2016</v>
      </c>
    </row>
    <row r="4" spans="2:7" ht="18.75" customHeight="1" x14ac:dyDescent="0.25">
      <c r="B4" s="18">
        <v>1</v>
      </c>
      <c r="C4" s="15" t="s">
        <v>12</v>
      </c>
      <c r="D4" s="17" t="s">
        <v>467</v>
      </c>
      <c r="E4" s="266"/>
      <c r="F4" s="266"/>
      <c r="G4" s="266"/>
    </row>
    <row r="5" spans="2:7" ht="18.75" customHeight="1" x14ac:dyDescent="0.25">
      <c r="B5" s="18">
        <f>B4+1</f>
        <v>2</v>
      </c>
      <c r="C5" s="15">
        <v>460</v>
      </c>
      <c r="D5" s="17" t="s">
        <v>468</v>
      </c>
      <c r="E5" s="266">
        <v>0</v>
      </c>
      <c r="F5" s="266">
        <v>0</v>
      </c>
      <c r="G5" s="266">
        <v>0</v>
      </c>
    </row>
    <row r="6" spans="2:7" ht="18.75" customHeight="1" x14ac:dyDescent="0.25">
      <c r="B6" s="18">
        <f t="shared" ref="B6:B31" si="0">B5+1</f>
        <v>3</v>
      </c>
      <c r="C6" s="15">
        <v>461</v>
      </c>
      <c r="D6" s="17" t="s">
        <v>469</v>
      </c>
      <c r="E6" s="266"/>
      <c r="F6" s="266"/>
      <c r="G6" s="266"/>
    </row>
    <row r="7" spans="2:7" ht="18.75" customHeight="1" x14ac:dyDescent="0.25">
      <c r="B7" s="18">
        <f t="shared" si="0"/>
        <v>4</v>
      </c>
      <c r="C7" s="15">
        <v>461.1</v>
      </c>
      <c r="D7" s="17" t="s">
        <v>470</v>
      </c>
      <c r="E7" s="266">
        <v>31302819</v>
      </c>
      <c r="F7" s="266">
        <v>30347447</v>
      </c>
      <c r="G7" s="266">
        <v>29759907</v>
      </c>
    </row>
    <row r="8" spans="2:7" ht="18.75" customHeight="1" x14ac:dyDescent="0.25">
      <c r="B8" s="18">
        <f t="shared" si="0"/>
        <v>5</v>
      </c>
      <c r="C8" s="15">
        <v>461.2</v>
      </c>
      <c r="D8" s="17" t="s">
        <v>471</v>
      </c>
      <c r="E8" s="266">
        <v>7931984</v>
      </c>
      <c r="F8" s="266">
        <v>7895910</v>
      </c>
      <c r="G8" s="266">
        <v>8026540</v>
      </c>
    </row>
    <row r="9" spans="2:7" ht="18.75" customHeight="1" x14ac:dyDescent="0.25">
      <c r="B9" s="18">
        <f t="shared" si="0"/>
        <v>6</v>
      </c>
      <c r="C9" s="15">
        <v>461.3</v>
      </c>
      <c r="D9" s="17" t="s">
        <v>472</v>
      </c>
      <c r="E9" s="266">
        <v>3965115</v>
      </c>
      <c r="F9" s="266">
        <v>3775791</v>
      </c>
      <c r="G9" s="266">
        <v>3791449</v>
      </c>
    </row>
    <row r="10" spans="2:7" ht="18.75" customHeight="1" x14ac:dyDescent="0.25">
      <c r="B10" s="18">
        <f t="shared" si="0"/>
        <v>7</v>
      </c>
      <c r="C10" s="15">
        <v>461.4</v>
      </c>
      <c r="D10" s="17" t="s">
        <v>456</v>
      </c>
      <c r="E10" s="266">
        <v>734936</v>
      </c>
      <c r="F10" s="266">
        <v>715031</v>
      </c>
      <c r="G10" s="266">
        <v>724206</v>
      </c>
    </row>
    <row r="11" spans="2:7" ht="18.75" customHeight="1" x14ac:dyDescent="0.25">
      <c r="B11" s="18">
        <f t="shared" si="0"/>
        <v>8</v>
      </c>
      <c r="C11" s="15">
        <v>461.5</v>
      </c>
      <c r="D11" s="17" t="s">
        <v>473</v>
      </c>
      <c r="E11" s="266">
        <v>0</v>
      </c>
      <c r="F11" s="266">
        <v>0</v>
      </c>
      <c r="G11" s="266">
        <v>0</v>
      </c>
    </row>
    <row r="12" spans="2:7" ht="18.75" customHeight="1" x14ac:dyDescent="0.25">
      <c r="B12" s="18">
        <f t="shared" si="0"/>
        <v>9</v>
      </c>
      <c r="C12" s="15">
        <v>461.6</v>
      </c>
      <c r="D12" s="17" t="s">
        <v>312</v>
      </c>
      <c r="E12" s="266">
        <v>0</v>
      </c>
      <c r="F12" s="266">
        <v>0</v>
      </c>
      <c r="G12" s="266">
        <v>0</v>
      </c>
    </row>
    <row r="13" spans="2:7" ht="18.75" customHeight="1" x14ac:dyDescent="0.25">
      <c r="B13" s="18">
        <f t="shared" si="0"/>
        <v>10</v>
      </c>
      <c r="C13" s="15"/>
      <c r="D13" s="17" t="s">
        <v>474</v>
      </c>
      <c r="E13" s="286">
        <f>SUM(E7:E12)</f>
        <v>43934854</v>
      </c>
      <c r="F13" s="286">
        <f>SUM(F7:F12)</f>
        <v>42734179</v>
      </c>
      <c r="G13" s="286">
        <f>SUM(G7:G12)</f>
        <v>42302102</v>
      </c>
    </row>
    <row r="14" spans="2:7" ht="18.75" customHeight="1" x14ac:dyDescent="0.25">
      <c r="B14" s="18">
        <f t="shared" si="0"/>
        <v>11</v>
      </c>
      <c r="C14" s="15"/>
      <c r="D14" s="17"/>
      <c r="E14" s="268"/>
      <c r="F14" s="268"/>
      <c r="G14" s="268"/>
    </row>
    <row r="15" spans="2:7" ht="18.75" customHeight="1" x14ac:dyDescent="0.25">
      <c r="B15" s="18">
        <f t="shared" si="0"/>
        <v>12</v>
      </c>
      <c r="C15" s="15">
        <v>462.1</v>
      </c>
      <c r="D15" s="17" t="s">
        <v>475</v>
      </c>
      <c r="E15" s="266">
        <v>1309854</v>
      </c>
      <c r="F15" s="266">
        <v>1302774</v>
      </c>
      <c r="G15" s="266">
        <v>1286392</v>
      </c>
    </row>
    <row r="16" spans="2:7" ht="18.75" customHeight="1" x14ac:dyDescent="0.25">
      <c r="B16" s="18">
        <f t="shared" si="0"/>
        <v>13</v>
      </c>
      <c r="C16" s="15">
        <v>462.2</v>
      </c>
      <c r="D16" s="17" t="s">
        <v>476</v>
      </c>
      <c r="E16" s="266">
        <v>1723656</v>
      </c>
      <c r="F16" s="266">
        <v>1665328</v>
      </c>
      <c r="G16" s="266">
        <v>1638122</v>
      </c>
    </row>
    <row r="17" spans="2:9" ht="18.75" customHeight="1" x14ac:dyDescent="0.25">
      <c r="B17" s="18">
        <f t="shared" si="0"/>
        <v>14</v>
      </c>
      <c r="C17" s="15"/>
      <c r="D17" s="17" t="s">
        <v>477</v>
      </c>
      <c r="E17" s="266"/>
      <c r="F17" s="266"/>
      <c r="G17" s="266"/>
    </row>
    <row r="18" spans="2:9" ht="18.75" customHeight="1" x14ac:dyDescent="0.25">
      <c r="B18" s="18">
        <f t="shared" si="0"/>
        <v>15</v>
      </c>
      <c r="C18" s="15"/>
      <c r="D18" s="17"/>
      <c r="E18" s="266"/>
      <c r="F18" s="266"/>
      <c r="G18" s="266"/>
    </row>
    <row r="19" spans="2:9" ht="18.75" customHeight="1" x14ac:dyDescent="0.25">
      <c r="B19" s="18">
        <f t="shared" si="0"/>
        <v>16</v>
      </c>
      <c r="C19" s="15" t="s">
        <v>12</v>
      </c>
      <c r="D19" s="17" t="s">
        <v>478</v>
      </c>
      <c r="E19" s="286">
        <f>SUM(E13:E16)</f>
        <v>46968364</v>
      </c>
      <c r="F19" s="286">
        <f>SUM(F13:F16)</f>
        <v>45702281</v>
      </c>
      <c r="G19" s="286">
        <f>SUM(G13:G16)</f>
        <v>45226616</v>
      </c>
      <c r="I19" s="33"/>
    </row>
    <row r="20" spans="2:9" ht="18.75" customHeight="1" x14ac:dyDescent="0.25">
      <c r="B20" s="18">
        <f t="shared" si="0"/>
        <v>17</v>
      </c>
      <c r="C20" s="15"/>
      <c r="D20" s="17"/>
      <c r="E20" s="268"/>
      <c r="F20" s="268"/>
      <c r="G20" s="268"/>
      <c r="I20" s="33"/>
    </row>
    <row r="21" spans="2:9" ht="18.75" customHeight="1" x14ac:dyDescent="0.25">
      <c r="B21" s="18">
        <f t="shared" si="0"/>
        <v>18</v>
      </c>
      <c r="C21" s="15"/>
      <c r="D21" s="17" t="s">
        <v>479</v>
      </c>
      <c r="E21" s="266"/>
      <c r="F21" s="266"/>
      <c r="G21" s="266"/>
      <c r="I21" s="33"/>
    </row>
    <row r="22" spans="2:9" ht="18.75" customHeight="1" x14ac:dyDescent="0.25">
      <c r="B22" s="18">
        <f t="shared" si="0"/>
        <v>19</v>
      </c>
      <c r="C22" s="15">
        <v>466</v>
      </c>
      <c r="D22" s="17" t="s">
        <v>480</v>
      </c>
      <c r="E22" s="266">
        <v>1177463</v>
      </c>
      <c r="F22" s="266">
        <v>1151030</v>
      </c>
      <c r="G22" s="266">
        <v>1206587</v>
      </c>
    </row>
    <row r="23" spans="2:9" ht="18.75" customHeight="1" x14ac:dyDescent="0.25">
      <c r="B23" s="18">
        <f t="shared" si="0"/>
        <v>20</v>
      </c>
      <c r="C23" s="15">
        <v>467</v>
      </c>
      <c r="D23" s="17" t="s">
        <v>481</v>
      </c>
      <c r="E23" s="266"/>
      <c r="F23" s="266"/>
      <c r="G23" s="266"/>
    </row>
    <row r="24" spans="2:9" ht="18.75" customHeight="1" x14ac:dyDescent="0.25">
      <c r="B24" s="18">
        <f t="shared" si="0"/>
        <v>21</v>
      </c>
      <c r="C24" s="15">
        <v>470</v>
      </c>
      <c r="D24" s="17" t="s">
        <v>482</v>
      </c>
      <c r="E24" s="266"/>
      <c r="F24" s="266"/>
      <c r="G24" s="266"/>
    </row>
    <row r="25" spans="2:9" ht="18.75" customHeight="1" x14ac:dyDescent="0.25">
      <c r="B25" s="18">
        <f t="shared" si="0"/>
        <v>22</v>
      </c>
      <c r="C25" s="15">
        <v>471</v>
      </c>
      <c r="D25" s="17" t="s">
        <v>483</v>
      </c>
      <c r="E25" s="266">
        <v>87163</v>
      </c>
      <c r="F25" s="266">
        <v>81207</v>
      </c>
      <c r="G25" s="266">
        <v>79282</v>
      </c>
    </row>
    <row r="26" spans="2:9" ht="18.75" customHeight="1" x14ac:dyDescent="0.25">
      <c r="B26" s="18">
        <f t="shared" si="0"/>
        <v>23</v>
      </c>
      <c r="C26" s="15">
        <v>472</v>
      </c>
      <c r="D26" s="17" t="s">
        <v>484</v>
      </c>
      <c r="E26" s="266">
        <v>506965</v>
      </c>
      <c r="F26" s="266">
        <v>472033</v>
      </c>
      <c r="G26" s="266">
        <v>481486</v>
      </c>
    </row>
    <row r="27" spans="2:9" ht="18.75" customHeight="1" x14ac:dyDescent="0.25">
      <c r="B27" s="18">
        <f t="shared" si="0"/>
        <v>24</v>
      </c>
      <c r="C27" s="15">
        <v>473</v>
      </c>
      <c r="D27" s="17" t="s">
        <v>485</v>
      </c>
      <c r="E27" s="266"/>
      <c r="F27" s="266"/>
      <c r="G27" s="266"/>
    </row>
    <row r="28" spans="2:9" ht="18.75" customHeight="1" x14ac:dyDescent="0.25">
      <c r="B28" s="18">
        <f t="shared" si="0"/>
        <v>25</v>
      </c>
      <c r="C28" s="15">
        <v>474</v>
      </c>
      <c r="D28" s="461" t="s">
        <v>486</v>
      </c>
      <c r="E28" s="299">
        <v>-1462599</v>
      </c>
      <c r="F28" s="299">
        <v>152220</v>
      </c>
      <c r="G28" s="299">
        <v>196847</v>
      </c>
      <c r="H28" s="462"/>
    </row>
    <row r="29" spans="2:9" ht="18.75" customHeight="1" x14ac:dyDescent="0.25">
      <c r="B29" s="18">
        <f t="shared" si="0"/>
        <v>26</v>
      </c>
      <c r="C29" s="15"/>
      <c r="D29" s="17" t="s">
        <v>487</v>
      </c>
      <c r="E29" s="266">
        <f>SUM(E22:E28)</f>
        <v>308992</v>
      </c>
      <c r="F29" s="266">
        <f>SUM(F22:F28)</f>
        <v>1856490</v>
      </c>
      <c r="G29" s="266">
        <f>SUM(G22:G28)</f>
        <v>1964202</v>
      </c>
    </row>
    <row r="30" spans="2:9" ht="18.75" customHeight="1" x14ac:dyDescent="0.25">
      <c r="B30" s="18">
        <f t="shared" si="0"/>
        <v>27</v>
      </c>
      <c r="C30" s="15"/>
      <c r="D30" s="17"/>
      <c r="E30" s="271"/>
      <c r="F30" s="266"/>
      <c r="G30" s="266"/>
    </row>
    <row r="31" spans="2:9" ht="18.75" customHeight="1" x14ac:dyDescent="0.25">
      <c r="B31" s="18">
        <f t="shared" si="0"/>
        <v>28</v>
      </c>
      <c r="C31" s="15"/>
      <c r="D31" s="384" t="s">
        <v>488</v>
      </c>
      <c r="E31" s="277">
        <f>E19+E29</f>
        <v>47277356</v>
      </c>
      <c r="F31" s="385">
        <f>F19+F29</f>
        <v>47558771</v>
      </c>
      <c r="G31" s="286">
        <f>G19+G29</f>
        <v>47190818</v>
      </c>
    </row>
    <row r="32" spans="2:9" ht="18.75" customHeight="1" x14ac:dyDescent="0.25"/>
    <row r="33" spans="2:5" ht="18.75" customHeight="1" x14ac:dyDescent="0.25">
      <c r="B33" s="1" t="s">
        <v>453</v>
      </c>
    </row>
    <row r="34" spans="2:5" ht="18.75" customHeight="1" x14ac:dyDescent="0.25">
      <c r="B34" s="1" t="s">
        <v>489</v>
      </c>
      <c r="E34" s="383" t="s">
        <v>12</v>
      </c>
    </row>
    <row r="35" spans="2:5" ht="18.75" customHeight="1" x14ac:dyDescent="0.25"/>
    <row r="36" spans="2:5" ht="18.75" customHeight="1" x14ac:dyDescent="0.25"/>
    <row r="37" spans="2:5" ht="18.75" customHeight="1" x14ac:dyDescent="0.25"/>
    <row r="38" spans="2:5" ht="18.75" customHeight="1" x14ac:dyDescent="0.25"/>
    <row r="39" spans="2:5" ht="18.75" customHeight="1" x14ac:dyDescent="0.25"/>
    <row r="40" spans="2:5" ht="18.75" customHeight="1" x14ac:dyDescent="0.25"/>
    <row r="41" spans="2:5" ht="18.75" customHeight="1" x14ac:dyDescent="0.25"/>
    <row r="42" spans="2:5" ht="18.75" customHeight="1" x14ac:dyDescent="0.25"/>
    <row r="43" spans="2:5" ht="18.75" customHeight="1" x14ac:dyDescent="0.25"/>
    <row r="44" spans="2:5" ht="18.75" customHeight="1" x14ac:dyDescent="0.25"/>
    <row r="45" spans="2:5" ht="18.75" customHeight="1" x14ac:dyDescent="0.25"/>
    <row r="46" spans="2:5" ht="18.75" customHeight="1" x14ac:dyDescent="0.25"/>
    <row r="47" spans="2:5" ht="18.75" customHeight="1" x14ac:dyDescent="0.25"/>
    <row r="48" spans="2:5" ht="18.75" customHeight="1" x14ac:dyDescent="0.25"/>
    <row r="49" ht="18.75" customHeight="1" x14ac:dyDescent="0.25"/>
    <row r="50" ht="18.75" customHeight="1" x14ac:dyDescent="0.25"/>
    <row r="51" ht="18.75" customHeight="1" x14ac:dyDescent="0.25"/>
    <row r="52" ht="18.75" customHeight="1" x14ac:dyDescent="0.25"/>
    <row r="53" ht="18.75" customHeight="1" x14ac:dyDescent="0.25"/>
    <row r="54" ht="18.75" customHeight="1" x14ac:dyDescent="0.25"/>
    <row r="55" ht="18.75" customHeight="1" x14ac:dyDescent="0.25"/>
    <row r="56" ht="18.75" customHeight="1" x14ac:dyDescent="0.25"/>
  </sheetData>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66"/>
  <sheetViews>
    <sheetView showGridLines="0" zoomScale="125" zoomScaleNormal="125" zoomScalePageLayoutView="125" workbookViewId="0">
      <selection activeCell="E8" sqref="E8"/>
    </sheetView>
  </sheetViews>
  <sheetFormatPr defaultColWidth="10.85546875" defaultRowHeight="14.1" customHeight="1" x14ac:dyDescent="0.25"/>
  <cols>
    <col min="1" max="1" width="2.7109375" style="1" customWidth="1"/>
    <col min="2" max="2" width="6.7109375" style="2" customWidth="1"/>
    <col min="3" max="3" width="7.140625" style="14" customWidth="1"/>
    <col min="4" max="4" width="7.140625" style="2" customWidth="1"/>
    <col min="5" max="5" width="46" style="1" customWidth="1"/>
    <col min="6" max="6" width="14.7109375" style="1" customWidth="1"/>
    <col min="7" max="8" width="14.7109375" style="10" customWidth="1"/>
    <col min="9" max="9" width="10.85546875" style="1"/>
    <col min="10" max="10" width="13" style="1" bestFit="1" customWidth="1"/>
    <col min="11" max="16384" width="10.85546875" style="1"/>
  </cols>
  <sheetData>
    <row r="1" spans="2:9" s="9" customFormat="1" ht="9.75" customHeight="1" x14ac:dyDescent="0.25">
      <c r="B1" s="80"/>
    </row>
    <row r="2" spans="2:9" s="8" customFormat="1" ht="37.5" customHeight="1" x14ac:dyDescent="0.25">
      <c r="B2" s="37" t="s">
        <v>490</v>
      </c>
      <c r="C2" s="16"/>
      <c r="D2" s="36"/>
      <c r="G2" s="35"/>
      <c r="H2" s="35"/>
    </row>
    <row r="3" spans="2:9" ht="18.75" customHeight="1" x14ac:dyDescent="0.25">
      <c r="B3" s="256" t="s">
        <v>13</v>
      </c>
      <c r="C3" s="257" t="s">
        <v>54</v>
      </c>
      <c r="D3" s="256" t="s">
        <v>188</v>
      </c>
      <c r="E3" s="256" t="s">
        <v>55</v>
      </c>
      <c r="F3" s="256">
        <v>2018</v>
      </c>
      <c r="G3" s="262">
        <v>2017</v>
      </c>
      <c r="H3" s="262">
        <v>2016</v>
      </c>
    </row>
    <row r="4" spans="2:9" ht="18.75" customHeight="1" x14ac:dyDescent="0.25">
      <c r="B4" s="18">
        <v>1</v>
      </c>
      <c r="C4" s="15"/>
      <c r="D4" s="171"/>
      <c r="E4" s="196" t="s">
        <v>491</v>
      </c>
      <c r="F4" s="306"/>
      <c r="G4" s="266"/>
      <c r="H4" s="266"/>
    </row>
    <row r="5" spans="2:9" ht="18.75" customHeight="1" x14ac:dyDescent="0.25">
      <c r="B5" s="18">
        <f>B4+1</f>
        <v>2</v>
      </c>
      <c r="C5" s="15" t="s">
        <v>492</v>
      </c>
      <c r="D5" s="171">
        <v>409</v>
      </c>
      <c r="E5" s="196" t="s">
        <v>493</v>
      </c>
      <c r="F5" s="266">
        <v>6221091</v>
      </c>
      <c r="G5" s="266">
        <v>6071907</v>
      </c>
      <c r="H5" s="266">
        <v>6063586</v>
      </c>
    </row>
    <row r="6" spans="2:9" ht="19.5" customHeight="1" x14ac:dyDescent="0.25">
      <c r="B6" s="18">
        <f t="shared" ref="B6:B62" si="0">B5+1</f>
        <v>3</v>
      </c>
      <c r="C6" s="15" t="s">
        <v>494</v>
      </c>
      <c r="D6" s="171">
        <v>409</v>
      </c>
      <c r="E6" s="196" t="s">
        <v>495</v>
      </c>
      <c r="F6" s="266">
        <v>285211</v>
      </c>
      <c r="G6" s="266">
        <v>279851</v>
      </c>
      <c r="H6" s="266">
        <v>279788</v>
      </c>
    </row>
    <row r="7" spans="2:9" ht="18.75" customHeight="1" x14ac:dyDescent="0.25">
      <c r="B7" s="18">
        <f t="shared" si="0"/>
        <v>4</v>
      </c>
      <c r="C7" s="15" t="s">
        <v>496</v>
      </c>
      <c r="D7" s="171" t="s">
        <v>497</v>
      </c>
      <c r="E7" s="196" t="s">
        <v>498</v>
      </c>
      <c r="F7" s="266">
        <v>1622138</v>
      </c>
      <c r="G7" s="266">
        <v>1708358</v>
      </c>
      <c r="H7" s="266">
        <v>1579765</v>
      </c>
    </row>
    <row r="8" spans="2:9" ht="18.75" customHeight="1" x14ac:dyDescent="0.25">
      <c r="B8" s="18">
        <f t="shared" si="0"/>
        <v>5</v>
      </c>
      <c r="C8" s="15"/>
      <c r="D8" s="171"/>
      <c r="E8" s="196" t="s">
        <v>499</v>
      </c>
      <c r="F8" s="286">
        <f>SUM(F5:F7)</f>
        <v>8128440</v>
      </c>
      <c r="G8" s="286">
        <f>SUM(G5:G7)</f>
        <v>8060116</v>
      </c>
      <c r="H8" s="286">
        <f>SUM(H5:H7)</f>
        <v>7923139</v>
      </c>
    </row>
    <row r="9" spans="2:9" ht="18.75" customHeight="1" x14ac:dyDescent="0.25">
      <c r="B9" s="18">
        <f t="shared" si="0"/>
        <v>6</v>
      </c>
      <c r="C9" s="15"/>
      <c r="D9" s="171"/>
      <c r="E9" s="196"/>
      <c r="F9" s="307"/>
      <c r="G9" s="268"/>
      <c r="H9" s="268"/>
    </row>
    <row r="10" spans="2:9" ht="18.75" customHeight="1" x14ac:dyDescent="0.25">
      <c r="B10" s="18">
        <f t="shared" si="0"/>
        <v>7</v>
      </c>
      <c r="C10" s="15"/>
      <c r="D10" s="171"/>
      <c r="E10" s="196" t="s">
        <v>500</v>
      </c>
      <c r="F10" s="306"/>
      <c r="G10" s="266"/>
      <c r="H10" s="266"/>
    </row>
    <row r="11" spans="2:9" ht="18.75" customHeight="1" x14ac:dyDescent="0.25">
      <c r="B11" s="18">
        <f t="shared" si="0"/>
        <v>8</v>
      </c>
      <c r="C11" s="15" t="s">
        <v>501</v>
      </c>
      <c r="D11" s="171">
        <v>408</v>
      </c>
      <c r="E11" s="196" t="s">
        <v>502</v>
      </c>
      <c r="F11" s="306"/>
      <c r="G11" s="266" t="s">
        <v>12</v>
      </c>
      <c r="H11" s="266" t="s">
        <v>12</v>
      </c>
    </row>
    <row r="12" spans="2:9" ht="18.75" customHeight="1" x14ac:dyDescent="0.25">
      <c r="B12" s="18">
        <f t="shared" si="0"/>
        <v>9</v>
      </c>
      <c r="C12" s="15" t="s">
        <v>503</v>
      </c>
      <c r="D12" s="171"/>
      <c r="E12" s="196" t="s">
        <v>504</v>
      </c>
      <c r="F12" s="266">
        <v>1078891</v>
      </c>
      <c r="G12" s="266">
        <v>1015290</v>
      </c>
      <c r="H12" s="266">
        <v>977409</v>
      </c>
      <c r="I12" s="1" t="s">
        <v>12</v>
      </c>
    </row>
    <row r="13" spans="2:9" ht="18.75" customHeight="1" x14ac:dyDescent="0.25">
      <c r="B13" s="18">
        <f t="shared" si="0"/>
        <v>10</v>
      </c>
      <c r="C13" s="15" t="s">
        <v>505</v>
      </c>
      <c r="D13" s="171"/>
      <c r="E13" s="196" t="s">
        <v>506</v>
      </c>
      <c r="F13" s="266">
        <v>23840</v>
      </c>
      <c r="G13" s="266">
        <v>26254</v>
      </c>
      <c r="H13" s="266">
        <v>28553</v>
      </c>
      <c r="I13" s="1" t="s">
        <v>12</v>
      </c>
    </row>
    <row r="14" spans="2:9" ht="18.75" customHeight="1" x14ac:dyDescent="0.25">
      <c r="B14" s="18">
        <f t="shared" si="0"/>
        <v>11</v>
      </c>
      <c r="C14" s="15" t="s">
        <v>507</v>
      </c>
      <c r="D14" s="171"/>
      <c r="E14" s="196" t="s">
        <v>508</v>
      </c>
      <c r="F14" s="266">
        <v>535188</v>
      </c>
      <c r="G14" s="266">
        <v>491958</v>
      </c>
      <c r="H14" s="266">
        <v>574716</v>
      </c>
    </row>
    <row r="15" spans="2:9" ht="18.75" customHeight="1" x14ac:dyDescent="0.25">
      <c r="B15" s="18">
        <f t="shared" si="0"/>
        <v>12</v>
      </c>
      <c r="C15" s="15" t="s">
        <v>509</v>
      </c>
      <c r="D15" s="171"/>
      <c r="E15" s="196" t="s">
        <v>378</v>
      </c>
      <c r="F15" s="266">
        <v>773452</v>
      </c>
      <c r="G15" s="266">
        <v>662096</v>
      </c>
      <c r="H15" s="266">
        <v>653215</v>
      </c>
    </row>
    <row r="16" spans="2:9" ht="18.75" customHeight="1" x14ac:dyDescent="0.25">
      <c r="B16" s="18">
        <f t="shared" si="0"/>
        <v>13</v>
      </c>
      <c r="C16" s="15"/>
      <c r="D16" s="171"/>
      <c r="E16" s="196" t="s">
        <v>510</v>
      </c>
      <c r="F16" s="286">
        <f>SUM(F11:F15)</f>
        <v>2411371</v>
      </c>
      <c r="G16" s="286">
        <f>SUM(G11:G15)</f>
        <v>2195598</v>
      </c>
      <c r="H16" s="286">
        <f>SUM(H11:H15)</f>
        <v>2233893</v>
      </c>
      <c r="I16" s="383" t="s">
        <v>12</v>
      </c>
    </row>
    <row r="17" spans="2:8" ht="18.75" customHeight="1" x14ac:dyDescent="0.25">
      <c r="B17" s="18">
        <f t="shared" si="0"/>
        <v>14</v>
      </c>
      <c r="C17" s="15"/>
      <c r="D17" s="171"/>
      <c r="E17" s="196"/>
      <c r="F17" s="307"/>
      <c r="G17" s="268"/>
      <c r="H17" s="268"/>
    </row>
    <row r="18" spans="2:8" ht="18.75" customHeight="1" x14ac:dyDescent="0.25">
      <c r="B18" s="18">
        <f t="shared" si="0"/>
        <v>15</v>
      </c>
      <c r="C18" s="15"/>
      <c r="D18" s="171"/>
      <c r="E18" s="196" t="s">
        <v>511</v>
      </c>
      <c r="F18" s="266">
        <f>'18-Expenses'!F63</f>
        <v>17479046</v>
      </c>
      <c r="G18" s="266">
        <f>'18-Expenses'!G63</f>
        <v>16789256</v>
      </c>
      <c r="H18" s="266"/>
    </row>
    <row r="19" spans="2:8" ht="18.75" customHeight="1" x14ac:dyDescent="0.25">
      <c r="B19" s="18">
        <f t="shared" si="0"/>
        <v>16</v>
      </c>
      <c r="C19" s="15" t="s">
        <v>512</v>
      </c>
      <c r="D19" s="171" t="s">
        <v>513</v>
      </c>
      <c r="E19" s="196" t="s">
        <v>514</v>
      </c>
      <c r="F19" s="266"/>
      <c r="G19" s="266" t="s">
        <v>12</v>
      </c>
      <c r="H19" s="266" t="s">
        <v>12</v>
      </c>
    </row>
    <row r="20" spans="2:8" ht="18.75" customHeight="1" x14ac:dyDescent="0.25">
      <c r="B20" s="18">
        <f t="shared" si="0"/>
        <v>17</v>
      </c>
      <c r="C20" s="15" t="s">
        <v>515</v>
      </c>
      <c r="D20" s="171" t="s">
        <v>513</v>
      </c>
      <c r="E20" s="196" t="s">
        <v>516</v>
      </c>
      <c r="F20" s="266">
        <v>262792</v>
      </c>
      <c r="G20" s="266">
        <v>186875</v>
      </c>
      <c r="H20" s="266">
        <v>200960</v>
      </c>
    </row>
    <row r="21" spans="2:8" ht="18.75" customHeight="1" x14ac:dyDescent="0.25">
      <c r="B21" s="18">
        <f t="shared" si="0"/>
        <v>18</v>
      </c>
      <c r="C21" s="15" t="s">
        <v>517</v>
      </c>
      <c r="D21" s="171" t="s">
        <v>513</v>
      </c>
      <c r="E21" s="196" t="s">
        <v>518</v>
      </c>
      <c r="F21" s="266">
        <v>82610</v>
      </c>
      <c r="G21" s="266">
        <v>131745</v>
      </c>
      <c r="H21" s="266">
        <v>131571</v>
      </c>
    </row>
    <row r="22" spans="2:8" ht="18.75" customHeight="1" x14ac:dyDescent="0.25">
      <c r="B22" s="18">
        <f t="shared" si="0"/>
        <v>19</v>
      </c>
      <c r="C22" s="15" t="s">
        <v>519</v>
      </c>
      <c r="D22" s="171" t="s">
        <v>520</v>
      </c>
      <c r="E22" s="196" t="s">
        <v>521</v>
      </c>
      <c r="F22" s="266">
        <v>0</v>
      </c>
      <c r="G22" s="266">
        <v>0</v>
      </c>
      <c r="H22" s="266">
        <v>0</v>
      </c>
    </row>
    <row r="23" spans="2:8" ht="18.75" customHeight="1" x14ac:dyDescent="0.25">
      <c r="B23" s="18">
        <f t="shared" si="0"/>
        <v>20</v>
      </c>
      <c r="C23" s="15" t="s">
        <v>522</v>
      </c>
      <c r="D23" s="171" t="s">
        <v>520</v>
      </c>
      <c r="E23" s="196" t="s">
        <v>523</v>
      </c>
      <c r="F23" s="266">
        <v>27082</v>
      </c>
      <c r="G23" s="266">
        <v>31638</v>
      </c>
      <c r="H23" s="266">
        <v>23742</v>
      </c>
    </row>
    <row r="24" spans="2:8" ht="18.75" customHeight="1" x14ac:dyDescent="0.25">
      <c r="B24" s="18">
        <f t="shared" si="0"/>
        <v>21</v>
      </c>
      <c r="C24" s="15" t="s">
        <v>524</v>
      </c>
      <c r="D24" s="171" t="s">
        <v>520</v>
      </c>
      <c r="E24" s="196" t="s">
        <v>525</v>
      </c>
      <c r="F24" s="266">
        <v>1813808</v>
      </c>
      <c r="G24" s="266">
        <v>1544044</v>
      </c>
      <c r="H24" s="266">
        <v>1497076</v>
      </c>
    </row>
    <row r="25" spans="2:8" ht="18.75" customHeight="1" x14ac:dyDescent="0.25">
      <c r="B25" s="18">
        <f t="shared" si="0"/>
        <v>22</v>
      </c>
      <c r="C25" s="15"/>
      <c r="D25" s="171"/>
      <c r="E25" s="196" t="s">
        <v>526</v>
      </c>
      <c r="F25" s="286">
        <f>SUM(F19:F24)</f>
        <v>2186292</v>
      </c>
      <c r="G25" s="286">
        <f>SUM(G19:G24)</f>
        <v>1894302</v>
      </c>
      <c r="H25" s="286">
        <f>SUM(H19:H24)</f>
        <v>1853349</v>
      </c>
    </row>
    <row r="26" spans="2:8" ht="18.75" customHeight="1" x14ac:dyDescent="0.25">
      <c r="B26" s="18">
        <f t="shared" si="0"/>
        <v>23</v>
      </c>
      <c r="C26" s="15"/>
      <c r="D26" s="171"/>
      <c r="E26" s="196"/>
      <c r="F26" s="307"/>
      <c r="G26" s="268"/>
      <c r="H26" s="268"/>
    </row>
    <row r="27" spans="2:8" ht="18.75" customHeight="1" x14ac:dyDescent="0.25">
      <c r="B27" s="18">
        <f t="shared" si="0"/>
        <v>24</v>
      </c>
      <c r="C27" s="15"/>
      <c r="D27" s="171"/>
      <c r="E27" s="196" t="s">
        <v>527</v>
      </c>
      <c r="F27" s="306"/>
      <c r="G27" s="266"/>
      <c r="H27" s="266"/>
    </row>
    <row r="28" spans="2:8" ht="18.75" customHeight="1" x14ac:dyDescent="0.25">
      <c r="B28" s="18">
        <f t="shared" si="0"/>
        <v>25</v>
      </c>
      <c r="C28" s="15" t="s">
        <v>528</v>
      </c>
      <c r="D28" s="171"/>
      <c r="E28" s="196" t="s">
        <v>529</v>
      </c>
      <c r="F28" s="266">
        <v>0</v>
      </c>
      <c r="G28" s="266">
        <v>0</v>
      </c>
      <c r="H28" s="266">
        <v>0</v>
      </c>
    </row>
    <row r="29" spans="2:8" ht="18.75" customHeight="1" x14ac:dyDescent="0.25">
      <c r="B29" s="18">
        <f t="shared" si="0"/>
        <v>26</v>
      </c>
      <c r="C29" s="15" t="s">
        <v>530</v>
      </c>
      <c r="D29" s="171"/>
      <c r="E29" s="196" t="s">
        <v>531</v>
      </c>
      <c r="F29" s="266">
        <v>8143</v>
      </c>
      <c r="G29" s="266">
        <v>0</v>
      </c>
      <c r="H29" s="266">
        <v>1359</v>
      </c>
    </row>
    <row r="30" spans="2:8" ht="18.75" customHeight="1" x14ac:dyDescent="0.25">
      <c r="B30" s="18">
        <f t="shared" si="0"/>
        <v>27</v>
      </c>
      <c r="C30" s="15" t="s">
        <v>532</v>
      </c>
      <c r="D30" s="171"/>
      <c r="E30" s="196" t="s">
        <v>533</v>
      </c>
      <c r="F30" s="266">
        <v>571024</v>
      </c>
      <c r="G30" s="266">
        <v>507872</v>
      </c>
      <c r="H30" s="266">
        <v>464020</v>
      </c>
    </row>
    <row r="31" spans="2:8" ht="18.75" customHeight="1" x14ac:dyDescent="0.25">
      <c r="B31" s="18">
        <f t="shared" si="0"/>
        <v>28</v>
      </c>
      <c r="C31" s="15"/>
      <c r="D31" s="171"/>
      <c r="E31" s="196" t="s">
        <v>534</v>
      </c>
      <c r="F31" s="286">
        <f>SUM(F28:F30)</f>
        <v>579167</v>
      </c>
      <c r="G31" s="286">
        <f>SUM(G28:G30)</f>
        <v>507872</v>
      </c>
      <c r="H31" s="286">
        <f>SUM(H28:H30)</f>
        <v>465379</v>
      </c>
    </row>
    <row r="32" spans="2:8" ht="18.75" customHeight="1" x14ac:dyDescent="0.25">
      <c r="B32" s="18">
        <f t="shared" si="0"/>
        <v>29</v>
      </c>
      <c r="C32" s="15"/>
      <c r="D32" s="171"/>
      <c r="E32" s="196"/>
      <c r="F32" s="307"/>
      <c r="G32" s="268"/>
      <c r="H32" s="268"/>
    </row>
    <row r="33" spans="2:8" ht="18.75" customHeight="1" x14ac:dyDescent="0.25">
      <c r="B33" s="18">
        <f t="shared" si="0"/>
        <v>30</v>
      </c>
      <c r="C33" s="15"/>
      <c r="D33" s="171"/>
      <c r="E33" s="196" t="s">
        <v>535</v>
      </c>
      <c r="F33" s="306"/>
      <c r="G33" s="266"/>
      <c r="H33" s="266"/>
    </row>
    <row r="34" spans="2:8" ht="18.75" customHeight="1" x14ac:dyDescent="0.25">
      <c r="B34" s="18">
        <f t="shared" si="0"/>
        <v>31</v>
      </c>
      <c r="C34" s="15" t="s">
        <v>536</v>
      </c>
      <c r="D34" s="171"/>
      <c r="E34" s="196" t="s">
        <v>537</v>
      </c>
      <c r="F34" s="266">
        <v>31846</v>
      </c>
      <c r="G34" s="266">
        <v>34724</v>
      </c>
      <c r="H34" s="266">
        <v>34599</v>
      </c>
    </row>
    <row r="35" spans="2:8" ht="18.75" customHeight="1" x14ac:dyDescent="0.25">
      <c r="B35" s="18">
        <f t="shared" si="0"/>
        <v>32</v>
      </c>
      <c r="C35" s="15" t="s">
        <v>538</v>
      </c>
      <c r="D35" s="171"/>
      <c r="E35" s="196" t="s">
        <v>539</v>
      </c>
      <c r="F35" s="266">
        <v>408384</v>
      </c>
      <c r="G35" s="266">
        <v>373647</v>
      </c>
      <c r="H35" s="266">
        <v>329150</v>
      </c>
    </row>
    <row r="36" spans="2:8" ht="18.75" customHeight="1" x14ac:dyDescent="0.25">
      <c r="B36" s="18">
        <f t="shared" si="0"/>
        <v>33</v>
      </c>
      <c r="C36" s="15" t="s">
        <v>540</v>
      </c>
      <c r="D36" s="171"/>
      <c r="E36" s="196" t="s">
        <v>541</v>
      </c>
      <c r="F36" s="266">
        <v>110238</v>
      </c>
      <c r="G36" s="266">
        <v>139193</v>
      </c>
      <c r="H36" s="266">
        <v>183739</v>
      </c>
    </row>
    <row r="37" spans="2:8" ht="18.75" customHeight="1" x14ac:dyDescent="0.25">
      <c r="B37" s="18">
        <f t="shared" si="0"/>
        <v>34</v>
      </c>
      <c r="C37" s="15" t="s">
        <v>542</v>
      </c>
      <c r="D37" s="171"/>
      <c r="E37" s="196" t="s">
        <v>312</v>
      </c>
      <c r="F37" s="266">
        <v>261122</v>
      </c>
      <c r="G37" s="266">
        <v>239929</v>
      </c>
      <c r="H37" s="266">
        <v>236614</v>
      </c>
    </row>
    <row r="38" spans="2:8" ht="18.75" customHeight="1" x14ac:dyDescent="0.25">
      <c r="B38" s="18">
        <f t="shared" si="0"/>
        <v>35</v>
      </c>
      <c r="C38" s="15"/>
      <c r="D38" s="171"/>
      <c r="E38" s="196" t="s">
        <v>543</v>
      </c>
      <c r="F38" s="286">
        <f>SUM(F34:F37)</f>
        <v>811590</v>
      </c>
      <c r="G38" s="286">
        <f>SUM(G34:G37)</f>
        <v>787493</v>
      </c>
      <c r="H38" s="286">
        <f>SUM(H34:H37)</f>
        <v>784102</v>
      </c>
    </row>
    <row r="39" spans="2:8" ht="18.75" customHeight="1" x14ac:dyDescent="0.25">
      <c r="B39" s="18">
        <f t="shared" si="0"/>
        <v>36</v>
      </c>
      <c r="C39" s="15"/>
      <c r="D39" s="171"/>
      <c r="E39" s="196"/>
      <c r="F39" s="307"/>
      <c r="G39" s="268"/>
      <c r="H39" s="268"/>
    </row>
    <row r="40" spans="2:8" ht="18.75" customHeight="1" x14ac:dyDescent="0.25">
      <c r="B40" s="18">
        <f t="shared" si="0"/>
        <v>37</v>
      </c>
      <c r="C40" s="15"/>
      <c r="D40" s="171"/>
      <c r="E40" s="196" t="s">
        <v>544</v>
      </c>
      <c r="F40" s="306"/>
      <c r="G40" s="266"/>
      <c r="H40" s="266"/>
    </row>
    <row r="41" spans="2:8" ht="18.75" customHeight="1" x14ac:dyDescent="0.25">
      <c r="B41" s="18">
        <f t="shared" si="0"/>
        <v>38</v>
      </c>
      <c r="C41" s="15" t="s">
        <v>545</v>
      </c>
      <c r="D41" s="171">
        <v>412</v>
      </c>
      <c r="E41" s="196" t="s">
        <v>546</v>
      </c>
      <c r="F41" s="266">
        <v>0</v>
      </c>
      <c r="G41" s="266">
        <v>0</v>
      </c>
      <c r="H41" s="266">
        <v>0</v>
      </c>
    </row>
    <row r="42" spans="2:8" ht="18.75" customHeight="1" x14ac:dyDescent="0.25">
      <c r="B42" s="18">
        <f t="shared" si="0"/>
        <v>39</v>
      </c>
      <c r="C42" s="15" t="s">
        <v>547</v>
      </c>
      <c r="D42" s="171"/>
      <c r="E42" s="196" t="s">
        <v>548</v>
      </c>
      <c r="F42" s="266">
        <v>0</v>
      </c>
      <c r="G42" s="266">
        <v>0</v>
      </c>
      <c r="H42" s="266">
        <v>57060</v>
      </c>
    </row>
    <row r="43" spans="2:8" ht="18.75" customHeight="1" x14ac:dyDescent="0.25">
      <c r="B43" s="18">
        <f t="shared" si="0"/>
        <v>40</v>
      </c>
      <c r="C43" s="15" t="s">
        <v>549</v>
      </c>
      <c r="D43" s="171"/>
      <c r="E43" s="196" t="s">
        <v>550</v>
      </c>
      <c r="F43" s="266">
        <v>0</v>
      </c>
      <c r="G43" s="266">
        <v>0</v>
      </c>
      <c r="H43" s="266">
        <v>0</v>
      </c>
    </row>
    <row r="44" spans="2:8" ht="18.75" customHeight="1" x14ac:dyDescent="0.25">
      <c r="B44" s="18">
        <f t="shared" si="0"/>
        <v>41</v>
      </c>
      <c r="C44" s="15" t="s">
        <v>551</v>
      </c>
      <c r="D44" s="171"/>
      <c r="E44" s="196" t="s">
        <v>552</v>
      </c>
      <c r="F44" s="266">
        <v>1250</v>
      </c>
      <c r="G44" s="266">
        <v>3000</v>
      </c>
      <c r="H44" s="266">
        <v>1000</v>
      </c>
    </row>
    <row r="45" spans="2:8" ht="18.75" customHeight="1" x14ac:dyDescent="0.25">
      <c r="B45" s="18">
        <f t="shared" si="0"/>
        <v>42</v>
      </c>
      <c r="C45" s="15" t="s">
        <v>553</v>
      </c>
      <c r="D45" s="171"/>
      <c r="E45" s="196" t="s">
        <v>554</v>
      </c>
      <c r="F45" s="266">
        <v>250884</v>
      </c>
      <c r="G45" s="266">
        <v>290897</v>
      </c>
      <c r="H45" s="266">
        <v>291108</v>
      </c>
    </row>
    <row r="46" spans="2:8" ht="18.75" customHeight="1" x14ac:dyDescent="0.25">
      <c r="B46" s="18">
        <f t="shared" si="0"/>
        <v>43</v>
      </c>
      <c r="C46" s="15" t="s">
        <v>555</v>
      </c>
      <c r="D46" s="171">
        <v>413</v>
      </c>
      <c r="E46" s="196" t="s">
        <v>556</v>
      </c>
      <c r="F46" s="266">
        <v>1306469</v>
      </c>
      <c r="G46" s="266">
        <v>1365629</v>
      </c>
      <c r="H46" s="266">
        <v>1449119</v>
      </c>
    </row>
    <row r="47" spans="2:8" ht="18.75" customHeight="1" x14ac:dyDescent="0.25">
      <c r="B47" s="18">
        <f t="shared" si="0"/>
        <v>44</v>
      </c>
      <c r="C47" s="15">
        <v>675.1</v>
      </c>
      <c r="D47" s="171"/>
      <c r="E47" s="196" t="s">
        <v>557</v>
      </c>
      <c r="F47" s="266">
        <v>72560</v>
      </c>
      <c r="G47" s="266">
        <v>71090</v>
      </c>
      <c r="H47" s="266">
        <v>69904</v>
      </c>
    </row>
    <row r="48" spans="2:8" ht="18.75" customHeight="1" x14ac:dyDescent="0.25">
      <c r="B48" s="18">
        <f t="shared" si="0"/>
        <v>45</v>
      </c>
      <c r="C48" s="15">
        <v>675.2</v>
      </c>
      <c r="D48" s="171">
        <v>414</v>
      </c>
      <c r="E48" s="196" t="s">
        <v>558</v>
      </c>
      <c r="F48" s="266">
        <v>5140</v>
      </c>
      <c r="G48" s="266">
        <v>6290</v>
      </c>
      <c r="H48" s="266">
        <v>6531</v>
      </c>
    </row>
    <row r="49" spans="2:10" ht="18.75" customHeight="1" x14ac:dyDescent="0.25">
      <c r="B49" s="18">
        <f t="shared" si="0"/>
        <v>46</v>
      </c>
      <c r="C49" s="15">
        <v>675.3</v>
      </c>
      <c r="D49" s="171"/>
      <c r="E49" s="196" t="s">
        <v>559</v>
      </c>
      <c r="F49" s="266">
        <v>152748</v>
      </c>
      <c r="G49" s="266">
        <v>145137</v>
      </c>
      <c r="H49" s="266">
        <v>108541</v>
      </c>
    </row>
    <row r="50" spans="2:10" ht="18.75" customHeight="1" x14ac:dyDescent="0.25">
      <c r="B50" s="18">
        <f t="shared" si="0"/>
        <v>47</v>
      </c>
      <c r="C50" s="15">
        <v>675.4</v>
      </c>
      <c r="D50" s="171"/>
      <c r="E50" s="196" t="s">
        <v>560</v>
      </c>
      <c r="F50" s="266">
        <v>607919</v>
      </c>
      <c r="G50" s="266">
        <v>591457</v>
      </c>
      <c r="H50" s="266">
        <v>550330</v>
      </c>
    </row>
    <row r="51" spans="2:10" ht="18.75" customHeight="1" x14ac:dyDescent="0.25">
      <c r="B51" s="18">
        <f t="shared" si="0"/>
        <v>48</v>
      </c>
      <c r="C51" s="15">
        <v>675.5</v>
      </c>
      <c r="D51" s="171"/>
      <c r="E51" s="196" t="s">
        <v>561</v>
      </c>
      <c r="F51" s="266">
        <v>219978</v>
      </c>
      <c r="G51" s="266">
        <v>191663</v>
      </c>
      <c r="H51" s="266">
        <v>239919</v>
      </c>
    </row>
    <row r="52" spans="2:10" ht="18.75" customHeight="1" x14ac:dyDescent="0.25">
      <c r="B52" s="18">
        <f t="shared" si="0"/>
        <v>49</v>
      </c>
      <c r="C52" s="15">
        <v>675.6</v>
      </c>
      <c r="D52" s="171"/>
      <c r="E52" s="196" t="s">
        <v>562</v>
      </c>
      <c r="F52" s="266">
        <v>113740</v>
      </c>
      <c r="G52" s="266">
        <v>65312</v>
      </c>
      <c r="H52" s="266">
        <v>67248</v>
      </c>
    </row>
    <row r="53" spans="2:10" ht="18.75" customHeight="1" x14ac:dyDescent="0.25">
      <c r="B53" s="18">
        <f t="shared" si="0"/>
        <v>50</v>
      </c>
      <c r="C53" s="15">
        <v>675.7</v>
      </c>
      <c r="D53" s="171"/>
      <c r="E53" s="196" t="s">
        <v>563</v>
      </c>
      <c r="F53" s="266">
        <v>10927</v>
      </c>
      <c r="G53" s="266">
        <v>10479</v>
      </c>
      <c r="H53" s="266">
        <v>5785</v>
      </c>
    </row>
    <row r="54" spans="2:10" ht="18.75" customHeight="1" x14ac:dyDescent="0.25">
      <c r="B54" s="18">
        <f t="shared" si="0"/>
        <v>51</v>
      </c>
      <c r="C54" s="15">
        <v>675.8</v>
      </c>
      <c r="D54" s="171"/>
      <c r="E54" s="196" t="s">
        <v>564</v>
      </c>
      <c r="F54" s="266">
        <v>292942</v>
      </c>
      <c r="G54" s="266">
        <v>281390</v>
      </c>
      <c r="H54" s="266">
        <v>263160</v>
      </c>
    </row>
    <row r="55" spans="2:10" ht="18.75" customHeight="1" x14ac:dyDescent="0.25">
      <c r="B55" s="18">
        <f t="shared" si="0"/>
        <v>52</v>
      </c>
      <c r="C55" s="15">
        <v>675.9</v>
      </c>
      <c r="D55" s="171"/>
      <c r="E55" s="196" t="s">
        <v>565</v>
      </c>
      <c r="F55" s="266">
        <v>302856</v>
      </c>
      <c r="G55" s="266">
        <v>300904</v>
      </c>
      <c r="H55" s="266">
        <v>311045</v>
      </c>
    </row>
    <row r="56" spans="2:10" ht="18.75" customHeight="1" x14ac:dyDescent="0.25">
      <c r="B56" s="18">
        <f t="shared" si="0"/>
        <v>53</v>
      </c>
      <c r="C56" s="15">
        <v>675.1</v>
      </c>
      <c r="D56" s="171"/>
      <c r="E56" s="196" t="s">
        <v>566</v>
      </c>
      <c r="F56" s="266">
        <v>1374</v>
      </c>
      <c r="G56" s="266">
        <v>1210</v>
      </c>
      <c r="H56" s="266">
        <v>1213</v>
      </c>
    </row>
    <row r="57" spans="2:10" ht="18.75" customHeight="1" x14ac:dyDescent="0.25">
      <c r="B57" s="18">
        <f t="shared" si="0"/>
        <v>54</v>
      </c>
      <c r="C57" s="15">
        <v>675.11</v>
      </c>
      <c r="D57" s="171"/>
      <c r="E57" s="196" t="s">
        <v>567</v>
      </c>
      <c r="F57" s="266"/>
      <c r="G57" s="266" t="s">
        <v>12</v>
      </c>
      <c r="H57" s="266" t="s">
        <v>12</v>
      </c>
    </row>
    <row r="58" spans="2:10" ht="18.75" customHeight="1" x14ac:dyDescent="0.25">
      <c r="B58" s="18">
        <f t="shared" si="0"/>
        <v>55</v>
      </c>
      <c r="C58" s="15">
        <v>675.12</v>
      </c>
      <c r="D58" s="171">
        <v>416</v>
      </c>
      <c r="E58" s="196" t="s">
        <v>568</v>
      </c>
      <c r="F58" s="266">
        <v>13091</v>
      </c>
      <c r="G58" s="266">
        <v>10803</v>
      </c>
      <c r="H58" s="266">
        <v>20202</v>
      </c>
    </row>
    <row r="59" spans="2:10" ht="18.75" customHeight="1" x14ac:dyDescent="0.25">
      <c r="B59" s="18">
        <f t="shared" si="0"/>
        <v>56</v>
      </c>
      <c r="C59" s="15">
        <v>675.13</v>
      </c>
      <c r="D59" s="171">
        <v>415</v>
      </c>
      <c r="E59" s="196" t="s">
        <v>569</v>
      </c>
      <c r="F59" s="266">
        <v>10308</v>
      </c>
      <c r="G59" s="266">
        <v>8614</v>
      </c>
      <c r="H59" s="266">
        <v>8136</v>
      </c>
      <c r="J59" s="197"/>
    </row>
    <row r="60" spans="2:10" ht="18.75" customHeight="1" x14ac:dyDescent="0.25">
      <c r="B60" s="18">
        <f t="shared" si="0"/>
        <v>57</v>
      </c>
      <c r="C60" s="15">
        <v>675.14</v>
      </c>
      <c r="D60" s="171"/>
      <c r="E60" s="196" t="s">
        <v>570</v>
      </c>
      <c r="F60" s="266">
        <v>0</v>
      </c>
      <c r="G60" s="266">
        <v>0</v>
      </c>
      <c r="H60" s="266">
        <v>0</v>
      </c>
      <c r="J60" s="197"/>
    </row>
    <row r="61" spans="2:10" ht="18.75" customHeight="1" x14ac:dyDescent="0.25">
      <c r="B61" s="18">
        <f t="shared" si="0"/>
        <v>58</v>
      </c>
      <c r="C61" s="15"/>
      <c r="D61" s="171"/>
      <c r="E61" s="196" t="s">
        <v>571</v>
      </c>
      <c r="F61" s="286">
        <f>SUM(F41:F60)</f>
        <v>3362186</v>
      </c>
      <c r="G61" s="286">
        <f>SUM(G41:G60)</f>
        <v>3343875</v>
      </c>
      <c r="H61" s="286">
        <f>SUM(H41:H60)</f>
        <v>3450301</v>
      </c>
      <c r="J61" s="131"/>
    </row>
    <row r="62" spans="2:10" ht="18.75" customHeight="1" x14ac:dyDescent="0.25">
      <c r="B62" s="18">
        <f t="shared" si="0"/>
        <v>59</v>
      </c>
      <c r="C62" s="15"/>
      <c r="D62" s="171"/>
      <c r="E62" s="196"/>
      <c r="F62" s="307"/>
      <c r="G62" s="268" t="s">
        <v>12</v>
      </c>
      <c r="H62" s="268" t="s">
        <v>12</v>
      </c>
    </row>
    <row r="63" spans="2:10" ht="18.75" customHeight="1" x14ac:dyDescent="0.25">
      <c r="B63" s="18">
        <f>B62+1</f>
        <v>60</v>
      </c>
      <c r="C63" s="15"/>
      <c r="D63" s="171"/>
      <c r="E63" s="196" t="s">
        <v>572</v>
      </c>
      <c r="F63" s="286">
        <f>F8+F16+F25+F31+F38+F61</f>
        <v>17479046</v>
      </c>
      <c r="G63" s="286">
        <f>G8+G16+G25+G31+G38+G61</f>
        <v>16789256</v>
      </c>
      <c r="H63" s="286">
        <f>H8+H16+H25+H31+H38+H61</f>
        <v>16710163</v>
      </c>
      <c r="I63" s="198"/>
      <c r="J63" s="199"/>
    </row>
    <row r="64" spans="2:10" ht="18.75" customHeight="1" x14ac:dyDescent="0.25">
      <c r="H64" s="10" t="s">
        <v>12</v>
      </c>
      <c r="I64" s="198"/>
      <c r="J64" s="199"/>
    </row>
    <row r="65" spans="2:10" ht="14.1" customHeight="1" x14ac:dyDescent="0.25">
      <c r="B65" s="39" t="s">
        <v>573</v>
      </c>
      <c r="H65" s="10" t="s">
        <v>12</v>
      </c>
      <c r="I65" s="114"/>
      <c r="J65" s="199"/>
    </row>
    <row r="66" spans="2:10" ht="14.1" customHeight="1" x14ac:dyDescent="0.25">
      <c r="B66" s="39"/>
    </row>
  </sheetData>
  <pageMargins left="0.75" right="0.75" top="1" bottom="1" header="0.5" footer="0.5"/>
  <pageSetup orientation="portrait" r:id="rId1"/>
  <ignoredErrors>
    <ignoredError sqref="C46:C60 C5:C6 C18:C25 C33:C38 C28:C30 C41:C45 C7 C11:C15" numberStoredAsText="1"/>
    <ignoredError sqref="G25:H25" emptyCellReference="1"/>
  </ignoredError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46"/>
  <sheetViews>
    <sheetView showGridLines="0" topLeftCell="A16" zoomScale="125" zoomScaleNormal="125" zoomScalePageLayoutView="125" workbookViewId="0">
      <selection activeCell="B3" sqref="B3"/>
    </sheetView>
  </sheetViews>
  <sheetFormatPr defaultColWidth="11.42578125" defaultRowHeight="15" x14ac:dyDescent="0.25"/>
  <cols>
    <col min="1" max="1" width="2.7109375" style="5" customWidth="1"/>
    <col min="2" max="16384" width="11.42578125" style="5"/>
  </cols>
  <sheetData>
    <row r="1" spans="2:2" s="9" customFormat="1" ht="9.75" customHeight="1" x14ac:dyDescent="0.25">
      <c r="B1" s="80"/>
    </row>
    <row r="2" spans="2:2" s="20" customFormat="1" ht="37.5" customHeight="1" x14ac:dyDescent="0.25">
      <c r="B2" s="37" t="s">
        <v>5</v>
      </c>
    </row>
    <row r="28" spans="2:5" x14ac:dyDescent="0.25">
      <c r="B28" s="1" t="s">
        <v>6</v>
      </c>
    </row>
    <row r="29" spans="2:5" s="33" customFormat="1" x14ac:dyDescent="0.25">
      <c r="B29" s="693" t="s">
        <v>7</v>
      </c>
      <c r="C29" s="1"/>
      <c r="D29" s="1"/>
      <c r="E29" s="1"/>
    </row>
    <row r="30" spans="2:5" s="33" customFormat="1" x14ac:dyDescent="0.25">
      <c r="B30" s="407" t="s">
        <v>8</v>
      </c>
    </row>
    <row r="31" spans="2:5" ht="22.5" x14ac:dyDescent="0.3">
      <c r="B31" s="740"/>
    </row>
    <row r="32" spans="2:5" x14ac:dyDescent="0.2">
      <c r="B32" s="741"/>
    </row>
    <row r="33" spans="2:2" x14ac:dyDescent="0.2">
      <c r="B33" s="741"/>
    </row>
    <row r="34" spans="2:2" x14ac:dyDescent="0.2">
      <c r="B34" s="741"/>
    </row>
    <row r="35" spans="2:2" x14ac:dyDescent="0.2">
      <c r="B35" s="741"/>
    </row>
    <row r="36" spans="2:2" ht="22.5" x14ac:dyDescent="0.3">
      <c r="B36" s="740"/>
    </row>
    <row r="37" spans="2:2" x14ac:dyDescent="0.2">
      <c r="B37" s="741"/>
    </row>
    <row r="38" spans="2:2" ht="22.5" x14ac:dyDescent="0.3">
      <c r="B38" s="740"/>
    </row>
    <row r="39" spans="2:2" x14ac:dyDescent="0.2">
      <c r="B39" s="741"/>
    </row>
    <row r="40" spans="2:2" x14ac:dyDescent="0.2">
      <c r="B40" s="741"/>
    </row>
    <row r="41" spans="2:2" x14ac:dyDescent="0.2">
      <c r="B41" s="741"/>
    </row>
    <row r="42" spans="2:2" ht="22.5" x14ac:dyDescent="0.3">
      <c r="B42" s="740"/>
    </row>
    <row r="43" spans="2:2" x14ac:dyDescent="0.2">
      <c r="B43" s="741"/>
    </row>
    <row r="44" spans="2:2" x14ac:dyDescent="0.2">
      <c r="B44" s="741"/>
    </row>
    <row r="45" spans="2:2" x14ac:dyDescent="0.2">
      <c r="B45" s="741"/>
    </row>
    <row r="46" spans="2:2" x14ac:dyDescent="0.2">
      <c r="B46" s="741"/>
    </row>
  </sheetData>
  <phoneticPr fontId="13" type="noConversion"/>
  <hyperlinks>
    <hyperlink ref="B30" r:id="rId1" xr:uid="{E7BFBD01-C932-49E6-954D-09F690AC74C9}"/>
    <hyperlink ref="B29" r:id="rId2" xr:uid="{AE161068-A505-41DD-997A-813B489E7D33}"/>
  </hyperlinks>
  <pageMargins left="0.75" right="0.75" top="1" bottom="1" header="0.5" footer="0.5"/>
  <pageSetup orientation="portrait" horizontalDpi="4294967292" verticalDpi="4294967292" r:id="rId3"/>
  <drawing r:id="rId4"/>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2F2F2"/>
  </sheetPr>
  <dimension ref="B1:N32"/>
  <sheetViews>
    <sheetView showGridLines="0" zoomScale="125" zoomScaleNormal="125" zoomScalePageLayoutView="125" workbookViewId="0">
      <selection activeCell="L1" sqref="L1"/>
    </sheetView>
  </sheetViews>
  <sheetFormatPr defaultColWidth="11.42578125" defaultRowHeight="15" x14ac:dyDescent="0.25"/>
  <cols>
    <col min="1" max="1" width="2.7109375" style="100" customWidth="1"/>
    <col min="2" max="2" width="6.7109375" style="100" customWidth="1"/>
    <col min="3" max="3" width="7.28515625" style="159" customWidth="1"/>
    <col min="4" max="4" width="37.28515625" style="370" customWidth="1"/>
    <col min="5" max="13" width="12.7109375" style="100" customWidth="1"/>
    <col min="14" max="16384" width="11.42578125" style="100"/>
  </cols>
  <sheetData>
    <row r="1" spans="2:13" s="9" customFormat="1" ht="9.75" customHeight="1" x14ac:dyDescent="0.25">
      <c r="B1" s="80"/>
    </row>
    <row r="2" spans="2:13" s="202" customFormat="1" ht="37.5" customHeight="1" x14ac:dyDescent="0.25">
      <c r="B2" s="50" t="s">
        <v>574</v>
      </c>
      <c r="C2" s="111"/>
      <c r="D2" s="371"/>
      <c r="E2" s="112"/>
      <c r="F2" s="210"/>
    </row>
    <row r="3" spans="2:13" s="159" customFormat="1" ht="63.75" x14ac:dyDescent="0.25">
      <c r="B3" s="256" t="s">
        <v>13</v>
      </c>
      <c r="C3" s="257" t="s">
        <v>54</v>
      </c>
      <c r="D3" s="373" t="s">
        <v>55</v>
      </c>
      <c r="E3" s="258" t="s">
        <v>575</v>
      </c>
      <c r="F3" s="374" t="s">
        <v>576</v>
      </c>
      <c r="G3" s="374" t="s">
        <v>577</v>
      </c>
      <c r="H3" s="258" t="s">
        <v>578</v>
      </c>
      <c r="I3" s="258" t="s">
        <v>579</v>
      </c>
      <c r="J3" s="258" t="s">
        <v>580</v>
      </c>
      <c r="K3" s="258" t="s">
        <v>581</v>
      </c>
      <c r="L3" s="258" t="s">
        <v>582</v>
      </c>
      <c r="M3" s="258" t="s">
        <v>583</v>
      </c>
    </row>
    <row r="4" spans="2:13" ht="18.75" customHeight="1" x14ac:dyDescent="0.25">
      <c r="B4" s="369">
        <v>1</v>
      </c>
      <c r="C4" s="368"/>
      <c r="D4" s="57" t="s">
        <v>584</v>
      </c>
      <c r="E4" s="338"/>
      <c r="F4" s="338"/>
      <c r="G4" s="338"/>
      <c r="H4" s="308"/>
      <c r="I4" s="308"/>
      <c r="J4" s="308"/>
      <c r="K4" s="308"/>
      <c r="L4" s="308"/>
      <c r="M4" s="308"/>
    </row>
    <row r="5" spans="2:13" ht="18.75" customHeight="1" x14ac:dyDescent="0.25">
      <c r="B5" s="369">
        <f t="shared" ref="B5:B23" si="0">B4+1</f>
        <v>2</v>
      </c>
      <c r="C5" s="368">
        <v>601</v>
      </c>
      <c r="D5" s="57" t="s">
        <v>493</v>
      </c>
      <c r="E5" s="338">
        <v>6221091</v>
      </c>
      <c r="F5" s="338">
        <v>153262</v>
      </c>
      <c r="G5" s="338">
        <v>210770</v>
      </c>
      <c r="H5" s="308">
        <v>860231</v>
      </c>
      <c r="I5" s="308">
        <v>182504</v>
      </c>
      <c r="J5" s="308">
        <v>1525204</v>
      </c>
      <c r="K5" s="308">
        <v>796829</v>
      </c>
      <c r="L5" s="308">
        <v>971187</v>
      </c>
      <c r="M5" s="308">
        <v>1521104</v>
      </c>
    </row>
    <row r="6" spans="2:13" ht="18.75" customHeight="1" x14ac:dyDescent="0.25">
      <c r="B6" s="369">
        <f t="shared" si="0"/>
        <v>3</v>
      </c>
      <c r="C6" s="368">
        <v>603</v>
      </c>
      <c r="D6" s="57" t="s">
        <v>495</v>
      </c>
      <c r="E6" s="338">
        <v>285211</v>
      </c>
      <c r="F6" s="338"/>
      <c r="G6" s="338"/>
      <c r="H6" s="308"/>
      <c r="I6" s="308"/>
      <c r="J6" s="308"/>
      <c r="K6" s="308"/>
      <c r="L6" s="308"/>
      <c r="M6" s="308">
        <v>285211</v>
      </c>
    </row>
    <row r="7" spans="2:13" ht="18.75" customHeight="1" x14ac:dyDescent="0.25">
      <c r="B7" s="369">
        <f t="shared" si="0"/>
        <v>4</v>
      </c>
      <c r="C7" s="368"/>
      <c r="D7" s="57" t="s">
        <v>585</v>
      </c>
      <c r="E7" s="338">
        <f>SUM(E5:E6)</f>
        <v>6506302</v>
      </c>
      <c r="F7" s="338">
        <f t="shared" ref="F7:M7" si="1">SUM(F5:F6)</f>
        <v>153262</v>
      </c>
      <c r="G7" s="338">
        <f t="shared" si="1"/>
        <v>210770</v>
      </c>
      <c r="H7" s="338">
        <f t="shared" si="1"/>
        <v>860231</v>
      </c>
      <c r="I7" s="338">
        <f t="shared" si="1"/>
        <v>182504</v>
      </c>
      <c r="J7" s="338">
        <f t="shared" si="1"/>
        <v>1525204</v>
      </c>
      <c r="K7" s="338">
        <f t="shared" si="1"/>
        <v>796829</v>
      </c>
      <c r="L7" s="338">
        <f t="shared" si="1"/>
        <v>971187</v>
      </c>
      <c r="M7" s="338">
        <f t="shared" si="1"/>
        <v>1806315</v>
      </c>
    </row>
    <row r="8" spans="2:13" ht="18.75" customHeight="1" x14ac:dyDescent="0.25">
      <c r="B8" s="369"/>
      <c r="C8" s="368"/>
      <c r="D8" s="57"/>
      <c r="E8" s="338"/>
      <c r="F8" s="338"/>
      <c r="G8" s="338"/>
      <c r="H8" s="338"/>
      <c r="I8" s="338"/>
      <c r="J8" s="338"/>
      <c r="K8" s="338"/>
      <c r="L8" s="338"/>
      <c r="M8" s="338"/>
    </row>
    <row r="9" spans="2:13" ht="18.75" customHeight="1" x14ac:dyDescent="0.25">
      <c r="B9" s="369">
        <f>B7+1</f>
        <v>5</v>
      </c>
      <c r="C9" s="368"/>
      <c r="D9" s="57" t="s">
        <v>586</v>
      </c>
      <c r="E9" s="338"/>
      <c r="F9" s="338"/>
      <c r="G9" s="338"/>
      <c r="H9" s="308"/>
      <c r="I9" s="308"/>
      <c r="J9" s="308"/>
      <c r="K9" s="308"/>
      <c r="L9" s="308"/>
      <c r="M9" s="308"/>
    </row>
    <row r="10" spans="2:13" ht="18.75" customHeight="1" x14ac:dyDescent="0.25">
      <c r="B10" s="369">
        <f t="shared" si="0"/>
        <v>6</v>
      </c>
      <c r="C10" s="368">
        <v>631</v>
      </c>
      <c r="D10" s="57" t="s">
        <v>514</v>
      </c>
      <c r="E10" s="338"/>
      <c r="F10" s="338"/>
      <c r="G10" s="338"/>
      <c r="H10" s="308"/>
      <c r="I10" s="308"/>
      <c r="J10" s="308"/>
      <c r="K10" s="308"/>
      <c r="L10" s="308"/>
      <c r="M10" s="308"/>
    </row>
    <row r="11" spans="2:13" ht="18.75" customHeight="1" x14ac:dyDescent="0.25">
      <c r="B11" s="369">
        <f t="shared" si="0"/>
        <v>7</v>
      </c>
      <c r="C11" s="368">
        <v>632</v>
      </c>
      <c r="D11" s="57" t="s">
        <v>516</v>
      </c>
      <c r="E11" s="338">
        <v>262792</v>
      </c>
      <c r="F11" s="338"/>
      <c r="G11" s="338"/>
      <c r="H11" s="308"/>
      <c r="I11" s="308"/>
      <c r="J11" s="308"/>
      <c r="K11" s="308"/>
      <c r="L11" s="308"/>
      <c r="M11" s="308">
        <v>262792</v>
      </c>
    </row>
    <row r="12" spans="2:13" ht="18.75" customHeight="1" x14ac:dyDescent="0.25">
      <c r="B12" s="369">
        <f t="shared" si="0"/>
        <v>8</v>
      </c>
      <c r="C12" s="368">
        <v>633</v>
      </c>
      <c r="D12" s="57" t="s">
        <v>518</v>
      </c>
      <c r="E12" s="338">
        <v>82610</v>
      </c>
      <c r="F12" s="338"/>
      <c r="G12" s="338"/>
      <c r="H12" s="308"/>
      <c r="I12" s="308"/>
      <c r="J12" s="308"/>
      <c r="K12" s="308"/>
      <c r="L12" s="308"/>
      <c r="M12" s="308">
        <v>82610</v>
      </c>
    </row>
    <row r="13" spans="2:13" ht="18.75" customHeight="1" x14ac:dyDescent="0.25">
      <c r="B13" s="369">
        <f t="shared" si="0"/>
        <v>9</v>
      </c>
      <c r="C13" s="368">
        <v>634</v>
      </c>
      <c r="D13" s="57" t="s">
        <v>521</v>
      </c>
      <c r="E13" s="338"/>
      <c r="F13" s="338"/>
      <c r="G13" s="338"/>
      <c r="H13" s="308"/>
      <c r="I13" s="308"/>
      <c r="J13" s="308"/>
      <c r="K13" s="308"/>
      <c r="L13" s="308"/>
      <c r="M13" s="308"/>
    </row>
    <row r="14" spans="2:13" ht="18.75" customHeight="1" x14ac:dyDescent="0.25">
      <c r="B14" s="369">
        <f t="shared" si="0"/>
        <v>10</v>
      </c>
      <c r="C14" s="368">
        <v>635</v>
      </c>
      <c r="D14" s="57" t="s">
        <v>587</v>
      </c>
      <c r="E14" s="338">
        <v>27082</v>
      </c>
      <c r="F14" s="338"/>
      <c r="G14" s="338"/>
      <c r="H14" s="308">
        <v>27082</v>
      </c>
      <c r="I14" s="308"/>
      <c r="J14" s="308"/>
      <c r="K14" s="308"/>
      <c r="L14" s="308"/>
      <c r="M14" s="308"/>
    </row>
    <row r="15" spans="2:13" ht="18.75" customHeight="1" x14ac:dyDescent="0.25">
      <c r="B15" s="369">
        <f t="shared" si="0"/>
        <v>11</v>
      </c>
      <c r="C15" s="368">
        <v>636</v>
      </c>
      <c r="D15" s="57" t="s">
        <v>588</v>
      </c>
      <c r="E15" s="338">
        <v>1813808</v>
      </c>
      <c r="F15" s="338">
        <v>1432</v>
      </c>
      <c r="G15" s="338">
        <v>100363</v>
      </c>
      <c r="H15" s="308">
        <v>147696</v>
      </c>
      <c r="I15" s="308">
        <v>145091</v>
      </c>
      <c r="J15" s="308">
        <v>734</v>
      </c>
      <c r="K15" s="308">
        <v>1140314</v>
      </c>
      <c r="L15" s="308">
        <v>33833</v>
      </c>
      <c r="M15" s="308">
        <v>244345</v>
      </c>
    </row>
    <row r="16" spans="2:13" ht="18.75" customHeight="1" x14ac:dyDescent="0.25">
      <c r="B16" s="369">
        <f t="shared" si="0"/>
        <v>12</v>
      </c>
      <c r="C16" s="368"/>
      <c r="D16" s="57" t="s">
        <v>589</v>
      </c>
      <c r="E16" s="338">
        <f>SUM(E11:E15)</f>
        <v>2186292</v>
      </c>
      <c r="F16" s="338">
        <f t="shared" ref="F16:M16" si="2">SUM(F11:F15)</f>
        <v>1432</v>
      </c>
      <c r="G16" s="338">
        <f t="shared" si="2"/>
        <v>100363</v>
      </c>
      <c r="H16" s="338">
        <f t="shared" si="2"/>
        <v>174778</v>
      </c>
      <c r="I16" s="338">
        <f t="shared" si="2"/>
        <v>145091</v>
      </c>
      <c r="J16" s="338">
        <f t="shared" si="2"/>
        <v>734</v>
      </c>
      <c r="K16" s="338">
        <f t="shared" si="2"/>
        <v>1140314</v>
      </c>
      <c r="L16" s="338">
        <f t="shared" si="2"/>
        <v>33833</v>
      </c>
      <c r="M16" s="338">
        <f t="shared" si="2"/>
        <v>589747</v>
      </c>
    </row>
    <row r="17" spans="2:14" ht="18.75" customHeight="1" x14ac:dyDescent="0.25">
      <c r="B17" s="369">
        <f t="shared" si="0"/>
        <v>13</v>
      </c>
      <c r="C17" s="368"/>
      <c r="D17" s="57"/>
      <c r="E17" s="338"/>
      <c r="F17" s="338"/>
      <c r="G17" s="338"/>
      <c r="H17" s="308"/>
      <c r="I17" s="308"/>
      <c r="J17" s="308"/>
      <c r="K17" s="308"/>
      <c r="L17" s="308"/>
      <c r="M17" s="308"/>
    </row>
    <row r="18" spans="2:14" ht="18.75" customHeight="1" x14ac:dyDescent="0.25">
      <c r="B18" s="369">
        <f t="shared" si="0"/>
        <v>14</v>
      </c>
      <c r="C18" s="69"/>
      <c r="D18" s="55" t="s">
        <v>590</v>
      </c>
      <c r="E18" s="308"/>
      <c r="F18" s="308"/>
      <c r="G18" s="308"/>
      <c r="H18" s="308"/>
      <c r="I18" s="308"/>
      <c r="J18" s="308"/>
      <c r="K18" s="308"/>
      <c r="L18" s="308"/>
      <c r="M18" s="308"/>
    </row>
    <row r="19" spans="2:14" ht="18.75" customHeight="1" x14ac:dyDescent="0.25">
      <c r="B19" s="369">
        <f t="shared" si="0"/>
        <v>15</v>
      </c>
      <c r="C19" s="69">
        <v>675.3</v>
      </c>
      <c r="D19" s="55" t="s">
        <v>591</v>
      </c>
      <c r="E19" s="308">
        <v>152748</v>
      </c>
      <c r="F19" s="308">
        <v>24105</v>
      </c>
      <c r="G19" s="308"/>
      <c r="H19" s="308">
        <v>22462</v>
      </c>
      <c r="I19" s="308"/>
      <c r="J19" s="308">
        <v>70331</v>
      </c>
      <c r="K19" s="308"/>
      <c r="L19" s="308">
        <v>4587</v>
      </c>
      <c r="M19" s="308">
        <v>31263</v>
      </c>
    </row>
    <row r="20" spans="2:14" ht="18.75" customHeight="1" x14ac:dyDescent="0.25">
      <c r="B20" s="369">
        <f t="shared" si="0"/>
        <v>16</v>
      </c>
      <c r="C20" s="146">
        <v>675.12</v>
      </c>
      <c r="D20" s="55" t="s">
        <v>568</v>
      </c>
      <c r="E20" s="308">
        <v>13091</v>
      </c>
      <c r="F20" s="308">
        <v>938</v>
      </c>
      <c r="G20" s="308"/>
      <c r="H20" s="308">
        <v>1485</v>
      </c>
      <c r="I20" s="308"/>
      <c r="J20" s="308">
        <v>4505</v>
      </c>
      <c r="K20" s="308"/>
      <c r="L20" s="308">
        <v>80</v>
      </c>
      <c r="M20" s="308">
        <v>6083</v>
      </c>
    </row>
    <row r="21" spans="2:14" ht="18.75" customHeight="1" x14ac:dyDescent="0.25">
      <c r="B21" s="369">
        <f t="shared" si="0"/>
        <v>17</v>
      </c>
      <c r="C21" s="69"/>
      <c r="D21" s="55" t="s">
        <v>571</v>
      </c>
      <c r="E21" s="308">
        <f>SUM(E19:E20)</f>
        <v>165839</v>
      </c>
      <c r="F21" s="308">
        <f t="shared" ref="F21:M21" si="3">SUM(F19:F20)</f>
        <v>25043</v>
      </c>
      <c r="G21" s="308"/>
      <c r="H21" s="308">
        <f t="shared" si="3"/>
        <v>23947</v>
      </c>
      <c r="I21" s="308"/>
      <c r="J21" s="308">
        <f t="shared" si="3"/>
        <v>74836</v>
      </c>
      <c r="K21" s="308"/>
      <c r="L21" s="308">
        <f t="shared" si="3"/>
        <v>4667</v>
      </c>
      <c r="M21" s="308">
        <f t="shared" si="3"/>
        <v>37346</v>
      </c>
    </row>
    <row r="22" spans="2:14" ht="18.75" customHeight="1" x14ac:dyDescent="0.25">
      <c r="B22" s="369">
        <f t="shared" si="0"/>
        <v>18</v>
      </c>
      <c r="C22" s="69"/>
      <c r="D22" s="55"/>
      <c r="E22" s="308"/>
      <c r="F22" s="308"/>
      <c r="G22" s="308"/>
      <c r="H22" s="308"/>
      <c r="I22" s="308"/>
      <c r="J22" s="308"/>
      <c r="K22" s="308"/>
      <c r="L22" s="308"/>
      <c r="M22" s="308"/>
    </row>
    <row r="23" spans="2:14" ht="18.75" customHeight="1" x14ac:dyDescent="0.25">
      <c r="B23" s="369">
        <f t="shared" si="0"/>
        <v>19</v>
      </c>
      <c r="C23" s="69"/>
      <c r="D23" s="55" t="s">
        <v>592</v>
      </c>
      <c r="E23" s="308">
        <f>E7+E16+E21</f>
        <v>8858433</v>
      </c>
      <c r="F23" s="308">
        <f t="shared" ref="F23:M23" si="4">F7+F16+F21</f>
        <v>179737</v>
      </c>
      <c r="G23" s="308">
        <f t="shared" si="4"/>
        <v>311133</v>
      </c>
      <c r="H23" s="308">
        <f t="shared" si="4"/>
        <v>1058956</v>
      </c>
      <c r="I23" s="308">
        <f t="shared" si="4"/>
        <v>327595</v>
      </c>
      <c r="J23" s="308">
        <f t="shared" si="4"/>
        <v>1600774</v>
      </c>
      <c r="K23" s="308">
        <f t="shared" si="4"/>
        <v>1937143</v>
      </c>
      <c r="L23" s="308">
        <f t="shared" si="4"/>
        <v>1009687</v>
      </c>
      <c r="M23" s="308">
        <f t="shared" si="4"/>
        <v>2433408</v>
      </c>
      <c r="N23" s="372"/>
    </row>
    <row r="24" spans="2:14" ht="18.75" customHeight="1" x14ac:dyDescent="0.25"/>
    <row r="25" spans="2:14" ht="18.75" customHeight="1" x14ac:dyDescent="0.25">
      <c r="B25" s="100" t="s">
        <v>593</v>
      </c>
    </row>
    <row r="26" spans="2:14" ht="18.75" customHeight="1" x14ac:dyDescent="0.25"/>
    <row r="27" spans="2:14" ht="18.75" customHeight="1" x14ac:dyDescent="0.25"/>
    <row r="28" spans="2:14" ht="18.75" customHeight="1" x14ac:dyDescent="0.25"/>
    <row r="29" spans="2:14" ht="18.75" customHeight="1" x14ac:dyDescent="0.25"/>
    <row r="30" spans="2:14" ht="18.75" customHeight="1" x14ac:dyDescent="0.25"/>
    <row r="31" spans="2:14" ht="18.75" customHeight="1" x14ac:dyDescent="0.25"/>
    <row r="32" spans="2:14" ht="18.75" customHeight="1" x14ac:dyDescent="0.25"/>
  </sheetData>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91"/>
  <sheetViews>
    <sheetView showGridLines="0" workbookViewId="0"/>
  </sheetViews>
  <sheetFormatPr defaultColWidth="42" defaultRowHeight="15" x14ac:dyDescent="0.25"/>
  <cols>
    <col min="1" max="1" width="2.7109375" style="5" customWidth="1"/>
    <col min="2" max="2" width="6.7109375" style="5" customWidth="1"/>
    <col min="3" max="3" width="67.42578125" style="100" customWidth="1"/>
    <col min="4" max="7" width="14.7109375" style="100" customWidth="1"/>
    <col min="8" max="16384" width="42" style="100"/>
  </cols>
  <sheetData>
    <row r="1" spans="2:7" s="9" customFormat="1" ht="9.75" customHeight="1" x14ac:dyDescent="0.25">
      <c r="B1" s="80"/>
    </row>
    <row r="2" spans="2:7" s="5" customFormat="1" ht="37.5" customHeight="1" x14ac:dyDescent="0.25">
      <c r="B2" s="19" t="s">
        <v>594</v>
      </c>
      <c r="C2" s="19"/>
      <c r="D2" s="19"/>
      <c r="E2" s="16"/>
      <c r="F2" s="8"/>
      <c r="G2" s="8"/>
    </row>
    <row r="3" spans="2:7" ht="18.75" customHeight="1" x14ac:dyDescent="0.25">
      <c r="B3" s="712" t="s">
        <v>13</v>
      </c>
      <c r="C3" s="712" t="s">
        <v>55</v>
      </c>
      <c r="D3" s="761" t="s">
        <v>595</v>
      </c>
      <c r="E3" s="762"/>
      <c r="F3" s="762"/>
      <c r="G3" s="763"/>
    </row>
    <row r="4" spans="2:7" ht="18.75" customHeight="1" x14ac:dyDescent="0.25">
      <c r="B4" s="62">
        <v>1</v>
      </c>
      <c r="C4" s="68" t="s">
        <v>596</v>
      </c>
      <c r="D4" s="44" t="s">
        <v>597</v>
      </c>
      <c r="E4" s="44" t="s">
        <v>598</v>
      </c>
      <c r="F4" s="44" t="s">
        <v>599</v>
      </c>
      <c r="G4" s="44" t="s">
        <v>600</v>
      </c>
    </row>
    <row r="5" spans="2:7" ht="18.75" customHeight="1" x14ac:dyDescent="0.25">
      <c r="B5" s="62">
        <f>B4+1</f>
        <v>2</v>
      </c>
      <c r="C5" s="68" t="s">
        <v>601</v>
      </c>
      <c r="D5" s="276"/>
      <c r="E5" s="276"/>
      <c r="F5" s="276"/>
      <c r="G5" s="276"/>
    </row>
    <row r="6" spans="2:7" ht="18.75" customHeight="1" x14ac:dyDescent="0.25">
      <c r="B6" s="62">
        <f t="shared" ref="B6:B50" si="0">B5+1</f>
        <v>3</v>
      </c>
      <c r="C6" s="68" t="s">
        <v>602</v>
      </c>
      <c r="D6" s="308">
        <v>13376</v>
      </c>
      <c r="E6" s="308">
        <v>12974</v>
      </c>
      <c r="F6" s="308">
        <v>11846</v>
      </c>
      <c r="G6" s="308">
        <v>12489</v>
      </c>
    </row>
    <row r="7" spans="2:7" ht="18.75" customHeight="1" x14ac:dyDescent="0.25">
      <c r="B7" s="62">
        <f t="shared" si="0"/>
        <v>4</v>
      </c>
      <c r="C7" s="68"/>
      <c r="D7" s="308"/>
      <c r="E7" s="308"/>
      <c r="F7" s="308"/>
      <c r="G7" s="308"/>
    </row>
    <row r="8" spans="2:7" ht="18.75" customHeight="1" x14ac:dyDescent="0.25">
      <c r="B8" s="62">
        <f t="shared" si="0"/>
        <v>5</v>
      </c>
      <c r="C8" s="68" t="s">
        <v>603</v>
      </c>
      <c r="D8" s="308"/>
      <c r="E8" s="308"/>
      <c r="F8" s="308"/>
      <c r="G8" s="308"/>
    </row>
    <row r="9" spans="2:7" ht="18.75" customHeight="1" x14ac:dyDescent="0.25">
      <c r="B9" s="62">
        <f t="shared" si="0"/>
        <v>6</v>
      </c>
      <c r="C9" s="68" t="s">
        <v>604</v>
      </c>
      <c r="D9" s="308">
        <v>0</v>
      </c>
      <c r="E9" s="308">
        <v>0</v>
      </c>
      <c r="F9" s="308">
        <v>-36</v>
      </c>
      <c r="G9" s="308">
        <v>0</v>
      </c>
    </row>
    <row r="10" spans="2:7" ht="18.75" customHeight="1" x14ac:dyDescent="0.25">
      <c r="B10" s="62">
        <f t="shared" si="0"/>
        <v>7</v>
      </c>
      <c r="C10" s="68" t="s">
        <v>605</v>
      </c>
      <c r="D10" s="308">
        <v>7010</v>
      </c>
      <c r="E10" s="308">
        <v>6769</v>
      </c>
      <c r="F10" s="308">
        <v>6422</v>
      </c>
      <c r="G10" s="308">
        <v>6151</v>
      </c>
    </row>
    <row r="11" spans="2:7" ht="18.75" customHeight="1" x14ac:dyDescent="0.25">
      <c r="B11" s="62">
        <f t="shared" si="0"/>
        <v>8</v>
      </c>
      <c r="C11" s="68" t="s">
        <v>606</v>
      </c>
      <c r="D11" s="308">
        <v>80</v>
      </c>
      <c r="E11" s="308">
        <v>46</v>
      </c>
      <c r="F11" s="308">
        <v>22</v>
      </c>
      <c r="G11" s="308">
        <v>0</v>
      </c>
    </row>
    <row r="12" spans="2:7" ht="18.75" customHeight="1" x14ac:dyDescent="0.25">
      <c r="B12" s="62">
        <f t="shared" si="0"/>
        <v>9</v>
      </c>
      <c r="C12" s="68" t="s">
        <v>607</v>
      </c>
      <c r="D12" s="308">
        <v>58</v>
      </c>
      <c r="E12" s="308">
        <v>2484</v>
      </c>
      <c r="F12" s="308">
        <v>1646</v>
      </c>
      <c r="G12" s="308">
        <v>2270</v>
      </c>
    </row>
    <row r="13" spans="2:7" ht="18.75" customHeight="1" x14ac:dyDescent="0.25">
      <c r="B13" s="62">
        <f t="shared" si="0"/>
        <v>10</v>
      </c>
      <c r="C13" s="403" t="s">
        <v>312</v>
      </c>
      <c r="D13" s="308">
        <v>295</v>
      </c>
      <c r="E13" s="308">
        <v>54</v>
      </c>
      <c r="F13" s="308">
        <v>331</v>
      </c>
      <c r="G13" s="308">
        <v>317</v>
      </c>
    </row>
    <row r="14" spans="2:7" ht="18.75" customHeight="1" x14ac:dyDescent="0.25">
      <c r="B14" s="62">
        <f t="shared" si="0"/>
        <v>11</v>
      </c>
      <c r="C14" s="403"/>
      <c r="D14" s="308"/>
      <c r="E14" s="308"/>
      <c r="F14" s="308"/>
      <c r="G14" s="308"/>
    </row>
    <row r="15" spans="2:7" ht="18.75" customHeight="1" x14ac:dyDescent="0.25">
      <c r="B15" s="62">
        <f t="shared" si="0"/>
        <v>12</v>
      </c>
      <c r="C15" s="68" t="s">
        <v>608</v>
      </c>
      <c r="D15" s="308"/>
      <c r="E15" s="308"/>
      <c r="F15" s="308"/>
      <c r="G15" s="308"/>
    </row>
    <row r="16" spans="2:7" ht="18.75" customHeight="1" x14ac:dyDescent="0.25">
      <c r="B16" s="62">
        <f t="shared" si="0"/>
        <v>13</v>
      </c>
      <c r="C16" s="68" t="s">
        <v>609</v>
      </c>
      <c r="D16" s="308">
        <v>-483</v>
      </c>
      <c r="E16" s="308">
        <v>-572</v>
      </c>
      <c r="F16" s="308">
        <v>-867</v>
      </c>
      <c r="G16" s="308">
        <v>-73</v>
      </c>
    </row>
    <row r="17" spans="2:7" ht="18.75" customHeight="1" x14ac:dyDescent="0.25">
      <c r="B17" s="62">
        <f t="shared" si="0"/>
        <v>14</v>
      </c>
      <c r="C17" s="68" t="s">
        <v>610</v>
      </c>
      <c r="D17" s="308">
        <v>0</v>
      </c>
      <c r="E17" s="308">
        <v>282</v>
      </c>
      <c r="F17" s="308">
        <v>767</v>
      </c>
      <c r="G17" s="308">
        <v>-92</v>
      </c>
    </row>
    <row r="18" spans="2:7" ht="18.75" customHeight="1" x14ac:dyDescent="0.25">
      <c r="B18" s="62">
        <f t="shared" si="0"/>
        <v>15</v>
      </c>
      <c r="C18" s="68" t="s">
        <v>611</v>
      </c>
      <c r="D18" s="308">
        <v>-6094</v>
      </c>
      <c r="E18" s="308">
        <v>-507</v>
      </c>
      <c r="F18" s="308">
        <v>-3098</v>
      </c>
      <c r="G18" s="308">
        <v>-3310</v>
      </c>
    </row>
    <row r="19" spans="2:7" ht="18.75" customHeight="1" x14ac:dyDescent="0.25">
      <c r="B19" s="62">
        <f t="shared" si="0"/>
        <v>16</v>
      </c>
      <c r="C19" s="204" t="s">
        <v>612</v>
      </c>
      <c r="D19" s="308">
        <v>4508</v>
      </c>
      <c r="E19" s="308">
        <v>-2018</v>
      </c>
      <c r="F19" s="308">
        <v>2387</v>
      </c>
      <c r="G19" s="308">
        <v>3009</v>
      </c>
    </row>
    <row r="20" spans="2:7" ht="18.75" customHeight="1" x14ac:dyDescent="0.25">
      <c r="B20" s="62">
        <f t="shared" si="0"/>
        <v>17</v>
      </c>
      <c r="C20" s="83" t="s">
        <v>613</v>
      </c>
      <c r="D20" s="308">
        <v>-378</v>
      </c>
      <c r="E20" s="308">
        <v>599</v>
      </c>
      <c r="F20" s="308">
        <v>-55</v>
      </c>
      <c r="G20" s="308">
        <v>-51</v>
      </c>
    </row>
    <row r="21" spans="2:7" ht="18.75" customHeight="1" x14ac:dyDescent="0.25">
      <c r="B21" s="62">
        <f t="shared" si="0"/>
        <v>18</v>
      </c>
      <c r="C21" s="68" t="s">
        <v>614</v>
      </c>
      <c r="D21" s="275">
        <f>SUM(D6:D20)</f>
        <v>18372</v>
      </c>
      <c r="E21" s="275">
        <f>SUM(E6:E20)</f>
        <v>20111</v>
      </c>
      <c r="F21" s="275">
        <f>SUM(F6:F20)</f>
        <v>19365</v>
      </c>
      <c r="G21" s="275">
        <f>SUM(G6:G20)</f>
        <v>20710</v>
      </c>
    </row>
    <row r="22" spans="2:7" ht="18.75" customHeight="1" x14ac:dyDescent="0.25">
      <c r="B22" s="62">
        <f t="shared" si="0"/>
        <v>19</v>
      </c>
      <c r="C22" s="68"/>
      <c r="D22" s="510"/>
      <c r="E22" s="510"/>
      <c r="F22" s="510"/>
      <c r="G22" s="510"/>
    </row>
    <row r="23" spans="2:7" ht="18.75" customHeight="1" x14ac:dyDescent="0.25">
      <c r="B23" s="62">
        <f t="shared" si="0"/>
        <v>20</v>
      </c>
      <c r="C23" s="68" t="s">
        <v>615</v>
      </c>
      <c r="D23" s="308"/>
      <c r="E23" s="308"/>
      <c r="F23" s="308"/>
      <c r="G23" s="308"/>
    </row>
    <row r="24" spans="2:7" ht="18.75" customHeight="1" x14ac:dyDescent="0.25">
      <c r="B24" s="62">
        <f t="shared" si="0"/>
        <v>21</v>
      </c>
      <c r="C24" s="204" t="s">
        <v>616</v>
      </c>
      <c r="D24" s="308">
        <v>-16882</v>
      </c>
      <c r="E24" s="308">
        <v>-24602</v>
      </c>
      <c r="F24" s="308">
        <v>-13158</v>
      </c>
      <c r="G24" s="308">
        <v>-13844</v>
      </c>
    </row>
    <row r="25" spans="2:7" ht="18.75" customHeight="1" x14ac:dyDescent="0.25">
      <c r="B25" s="62">
        <f t="shared" si="0"/>
        <v>22</v>
      </c>
      <c r="C25" s="83" t="s">
        <v>617</v>
      </c>
      <c r="D25" s="308">
        <v>0</v>
      </c>
      <c r="E25" s="308">
        <v>-472</v>
      </c>
      <c r="F25" s="308">
        <v>-50</v>
      </c>
      <c r="G25" s="308">
        <v>-352</v>
      </c>
    </row>
    <row r="26" spans="2:7" ht="18.75" customHeight="1" x14ac:dyDescent="0.25">
      <c r="B26" s="62">
        <f t="shared" si="0"/>
        <v>23</v>
      </c>
      <c r="C26" s="68" t="s">
        <v>618</v>
      </c>
      <c r="D26" s="308">
        <v>0</v>
      </c>
      <c r="E26" s="308">
        <v>0</v>
      </c>
      <c r="F26" s="308">
        <v>40</v>
      </c>
      <c r="G26" s="308">
        <v>0</v>
      </c>
    </row>
    <row r="27" spans="2:7" ht="18.75" customHeight="1" x14ac:dyDescent="0.25">
      <c r="B27" s="62">
        <f t="shared" si="0"/>
        <v>24</v>
      </c>
      <c r="C27" s="68" t="s">
        <v>619</v>
      </c>
      <c r="D27" s="308">
        <v>0</v>
      </c>
      <c r="E27" s="308">
        <v>0</v>
      </c>
      <c r="F27" s="308">
        <v>0</v>
      </c>
      <c r="G27" s="308">
        <v>11</v>
      </c>
    </row>
    <row r="28" spans="2:7" ht="18.75" customHeight="1" x14ac:dyDescent="0.25">
      <c r="B28" s="62">
        <f t="shared" si="0"/>
        <v>25</v>
      </c>
      <c r="C28" s="68" t="s">
        <v>620</v>
      </c>
      <c r="D28" s="308">
        <v>108</v>
      </c>
      <c r="E28" s="308">
        <v>0</v>
      </c>
      <c r="F28" s="308">
        <v>642</v>
      </c>
      <c r="G28" s="308">
        <v>0</v>
      </c>
    </row>
    <row r="29" spans="2:7" ht="18.75" customHeight="1" x14ac:dyDescent="0.25">
      <c r="B29" s="62">
        <f t="shared" si="0"/>
        <v>26</v>
      </c>
      <c r="C29" s="68" t="s">
        <v>621</v>
      </c>
      <c r="D29" s="275">
        <f>SUM(D24:D28)</f>
        <v>-16774</v>
      </c>
      <c r="E29" s="275">
        <f>SUM(E24:E28)</f>
        <v>-25074</v>
      </c>
      <c r="F29" s="275">
        <f>SUM(F24:F28)</f>
        <v>-12526</v>
      </c>
      <c r="G29" s="275">
        <f>SUM(G24:G28)</f>
        <v>-14185</v>
      </c>
    </row>
    <row r="30" spans="2:7" ht="18.75" customHeight="1" x14ac:dyDescent="0.25">
      <c r="B30" s="62">
        <f t="shared" si="0"/>
        <v>27</v>
      </c>
      <c r="C30" s="68"/>
      <c r="D30" s="510"/>
      <c r="E30" s="510"/>
      <c r="F30" s="510"/>
      <c r="G30" s="510"/>
    </row>
    <row r="31" spans="2:7" ht="18.75" customHeight="1" x14ac:dyDescent="0.25">
      <c r="B31" s="62">
        <f t="shared" si="0"/>
        <v>28</v>
      </c>
      <c r="C31" s="68" t="s">
        <v>622</v>
      </c>
      <c r="D31" s="308"/>
      <c r="E31" s="308"/>
      <c r="F31" s="308"/>
      <c r="G31" s="308"/>
    </row>
    <row r="32" spans="2:7" ht="18.75" customHeight="1" x14ac:dyDescent="0.25">
      <c r="B32" s="62">
        <f t="shared" si="0"/>
        <v>29</v>
      </c>
      <c r="C32" s="68" t="s">
        <v>623</v>
      </c>
      <c r="D32" s="308">
        <v>1998</v>
      </c>
      <c r="E32" s="308">
        <v>1642</v>
      </c>
      <c r="F32" s="308">
        <v>1769</v>
      </c>
      <c r="G32" s="308">
        <v>1117</v>
      </c>
    </row>
    <row r="33" spans="2:8" ht="18.75" customHeight="1" x14ac:dyDescent="0.25">
      <c r="B33" s="62">
        <f t="shared" si="0"/>
        <v>30</v>
      </c>
      <c r="C33" s="68" t="s">
        <v>624</v>
      </c>
      <c r="D33" s="308">
        <v>-409</v>
      </c>
      <c r="E33" s="308">
        <v>-413</v>
      </c>
      <c r="F33" s="308">
        <v>-443</v>
      </c>
      <c r="G33" s="308">
        <v>-447</v>
      </c>
    </row>
    <row r="34" spans="2:8" ht="18.75" customHeight="1" x14ac:dyDescent="0.25">
      <c r="B34" s="62">
        <f t="shared" si="0"/>
        <v>31</v>
      </c>
      <c r="C34" s="68" t="s">
        <v>625</v>
      </c>
      <c r="D34" s="308">
        <v>28762</v>
      </c>
      <c r="E34" s="308">
        <v>22878</v>
      </c>
      <c r="F34" s="308">
        <v>0</v>
      </c>
      <c r="G34" s="308">
        <v>14301</v>
      </c>
    </row>
    <row r="35" spans="2:8" ht="18.75" customHeight="1" x14ac:dyDescent="0.25">
      <c r="B35" s="62">
        <f t="shared" si="0"/>
        <v>32</v>
      </c>
      <c r="C35" s="68" t="s">
        <v>626</v>
      </c>
      <c r="D35" s="308">
        <v>0</v>
      </c>
      <c r="E35" s="308">
        <v>0</v>
      </c>
      <c r="F35" s="308">
        <v>0</v>
      </c>
      <c r="G35" s="308">
        <v>-298</v>
      </c>
    </row>
    <row r="36" spans="2:8" ht="18.75" customHeight="1" x14ac:dyDescent="0.25">
      <c r="B36" s="62">
        <f t="shared" si="0"/>
        <v>33</v>
      </c>
      <c r="C36" s="68" t="s">
        <v>627</v>
      </c>
      <c r="D36" s="308">
        <v>-25691</v>
      </c>
      <c r="E36" s="308">
        <v>-17533</v>
      </c>
      <c r="F36" s="308">
        <v>-53</v>
      </c>
      <c r="G36" s="308">
        <v>-11886</v>
      </c>
    </row>
    <row r="37" spans="2:8" ht="18.75" customHeight="1" x14ac:dyDescent="0.25">
      <c r="B37" s="62">
        <f t="shared" si="0"/>
        <v>34</v>
      </c>
      <c r="C37" s="68" t="s">
        <v>628</v>
      </c>
      <c r="D37" s="308">
        <v>0</v>
      </c>
      <c r="E37" s="308">
        <v>1000</v>
      </c>
      <c r="F37" s="308">
        <v>0</v>
      </c>
      <c r="G37" s="308">
        <v>0</v>
      </c>
    </row>
    <row r="38" spans="2:8" ht="18.75" customHeight="1" x14ac:dyDescent="0.25">
      <c r="B38" s="62">
        <f t="shared" si="0"/>
        <v>35</v>
      </c>
      <c r="C38" s="83" t="s">
        <v>629</v>
      </c>
      <c r="D38" s="308">
        <v>301</v>
      </c>
      <c r="E38" s="308">
        <v>769</v>
      </c>
      <c r="F38" s="308">
        <v>0</v>
      </c>
      <c r="G38" s="308">
        <v>0</v>
      </c>
    </row>
    <row r="39" spans="2:8" ht="18.75" customHeight="1" x14ac:dyDescent="0.25">
      <c r="B39" s="62">
        <f t="shared" si="0"/>
        <v>36</v>
      </c>
      <c r="C39" s="68" t="s">
        <v>630</v>
      </c>
      <c r="D39" s="308">
        <v>0</v>
      </c>
      <c r="E39" s="308">
        <v>-1263</v>
      </c>
      <c r="F39" s="308">
        <v>-1339</v>
      </c>
      <c r="G39" s="308">
        <v>-2546</v>
      </c>
    </row>
    <row r="40" spans="2:8" ht="18.75" customHeight="1" x14ac:dyDescent="0.25">
      <c r="B40" s="62">
        <f t="shared" si="0"/>
        <v>37</v>
      </c>
      <c r="C40" s="68" t="s">
        <v>631</v>
      </c>
      <c r="D40" s="308">
        <v>2024</v>
      </c>
      <c r="E40" s="308">
        <v>1905</v>
      </c>
      <c r="F40" s="308">
        <v>2513</v>
      </c>
      <c r="G40" s="308">
        <v>2307</v>
      </c>
    </row>
    <row r="41" spans="2:8" ht="18.75" customHeight="1" x14ac:dyDescent="0.25">
      <c r="B41" s="62">
        <f t="shared" si="0"/>
        <v>38</v>
      </c>
      <c r="C41" s="68" t="s">
        <v>632</v>
      </c>
      <c r="D41" s="308">
        <v>-8583</v>
      </c>
      <c r="E41" s="308">
        <v>-8229</v>
      </c>
      <c r="F41" s="308">
        <v>-7956</v>
      </c>
      <c r="G41" s="308">
        <v>-7682</v>
      </c>
    </row>
    <row r="42" spans="2:8" ht="18.75" customHeight="1" x14ac:dyDescent="0.25">
      <c r="B42" s="62">
        <f t="shared" si="0"/>
        <v>39</v>
      </c>
      <c r="C42" s="83" t="s">
        <v>633</v>
      </c>
      <c r="D42" s="275">
        <f>SUM(D32:D41)</f>
        <v>-1598</v>
      </c>
      <c r="E42" s="275">
        <f>SUM(E32:E41)</f>
        <v>756</v>
      </c>
      <c r="F42" s="275">
        <f>SUM(F32:F41)</f>
        <v>-5509</v>
      </c>
      <c r="G42" s="275">
        <f>SUM(G32:G41)</f>
        <v>-5134</v>
      </c>
    </row>
    <row r="43" spans="2:8" ht="18.75" customHeight="1" x14ac:dyDescent="0.25">
      <c r="B43" s="62"/>
      <c r="C43" s="83"/>
      <c r="D43" s="510"/>
      <c r="E43" s="510"/>
      <c r="F43" s="510"/>
      <c r="G43" s="510"/>
    </row>
    <row r="44" spans="2:8" ht="18.75" customHeight="1" x14ac:dyDescent="0.25">
      <c r="B44" s="62">
        <f>B42+1</f>
        <v>40</v>
      </c>
      <c r="C44" s="68" t="s">
        <v>634</v>
      </c>
      <c r="D44" s="308">
        <f>D21+D29+D42</f>
        <v>0</v>
      </c>
      <c r="E44" s="308">
        <f>E21+E29+E42</f>
        <v>-4207</v>
      </c>
      <c r="F44" s="308">
        <f>F21+F29+F42</f>
        <v>1330</v>
      </c>
      <c r="G44" s="308">
        <f>G21+G29+G42</f>
        <v>1391</v>
      </c>
      <c r="H44" s="200"/>
    </row>
    <row r="45" spans="2:8" ht="18.75" customHeight="1" x14ac:dyDescent="0.25">
      <c r="B45" s="62">
        <f>B44+1</f>
        <v>41</v>
      </c>
      <c r="C45" s="68" t="s">
        <v>635</v>
      </c>
      <c r="D45" s="308">
        <v>2</v>
      </c>
      <c r="E45" s="308">
        <v>4209</v>
      </c>
      <c r="F45" s="308">
        <v>2879</v>
      </c>
      <c r="G45" s="308">
        <v>1488</v>
      </c>
    </row>
    <row r="46" spans="2:8" ht="18.75" customHeight="1" x14ac:dyDescent="0.25">
      <c r="B46" s="62">
        <f t="shared" si="0"/>
        <v>42</v>
      </c>
      <c r="C46" s="68" t="s">
        <v>636</v>
      </c>
      <c r="D46" s="275">
        <f>SUM(D44:D45)</f>
        <v>2</v>
      </c>
      <c r="E46" s="275">
        <f>SUM(E44:E45)</f>
        <v>2</v>
      </c>
      <c r="F46" s="275">
        <f>SUM(F44:F45)</f>
        <v>4209</v>
      </c>
      <c r="G46" s="275">
        <f>SUM(G44:G45)</f>
        <v>2879</v>
      </c>
    </row>
    <row r="47" spans="2:8" ht="18.75" customHeight="1" x14ac:dyDescent="0.25">
      <c r="B47" s="62">
        <f t="shared" si="0"/>
        <v>43</v>
      </c>
      <c r="C47" s="68"/>
      <c r="D47" s="510"/>
      <c r="E47" s="510"/>
      <c r="F47" s="510"/>
      <c r="G47" s="510"/>
    </row>
    <row r="48" spans="2:8" ht="18.75" customHeight="1" x14ac:dyDescent="0.25">
      <c r="B48" s="62">
        <f t="shared" si="0"/>
        <v>44</v>
      </c>
      <c r="C48" s="83" t="s">
        <v>637</v>
      </c>
      <c r="D48" s="308"/>
      <c r="E48" s="308"/>
      <c r="F48" s="308"/>
      <c r="G48" s="308"/>
    </row>
    <row r="49" spans="1:7" ht="18.75" customHeight="1" x14ac:dyDescent="0.25">
      <c r="B49" s="62">
        <f t="shared" si="0"/>
        <v>45</v>
      </c>
      <c r="C49" s="68" t="s">
        <v>638</v>
      </c>
      <c r="D49" s="308">
        <v>5236</v>
      </c>
      <c r="E49" s="308">
        <v>4652</v>
      </c>
      <c r="F49" s="308">
        <v>5051</v>
      </c>
      <c r="G49" s="308">
        <v>4985</v>
      </c>
    </row>
    <row r="50" spans="1:7" ht="18.75" customHeight="1" x14ac:dyDescent="0.25">
      <c r="B50" s="62">
        <f t="shared" si="0"/>
        <v>46</v>
      </c>
      <c r="C50" s="68" t="s">
        <v>43</v>
      </c>
      <c r="D50" s="308">
        <v>2901</v>
      </c>
      <c r="E50" s="308">
        <v>758</v>
      </c>
      <c r="F50" s="308">
        <v>2509</v>
      </c>
      <c r="G50" s="308">
        <v>2155</v>
      </c>
    </row>
    <row r="51" spans="1:7" ht="18.75" customHeight="1" x14ac:dyDescent="0.25">
      <c r="B51" s="34"/>
      <c r="D51" s="200"/>
      <c r="E51" s="200"/>
      <c r="F51" s="200"/>
      <c r="G51" s="200"/>
    </row>
    <row r="52" spans="1:7" x14ac:dyDescent="0.25">
      <c r="B52" s="34"/>
      <c r="C52" s="6" t="s">
        <v>639</v>
      </c>
      <c r="E52" s="200"/>
      <c r="F52" s="200"/>
      <c r="G52" s="200"/>
    </row>
    <row r="53" spans="1:7" x14ac:dyDescent="0.25">
      <c r="C53" s="99" t="s">
        <v>640</v>
      </c>
    </row>
    <row r="54" spans="1:7" x14ac:dyDescent="0.25">
      <c r="C54" s="6" t="s">
        <v>641</v>
      </c>
    </row>
    <row r="55" spans="1:7" x14ac:dyDescent="0.25">
      <c r="A55" s="100"/>
      <c r="B55" s="100"/>
      <c r="C55" s="201" t="s">
        <v>8</v>
      </c>
      <c r="D55" s="155"/>
      <c r="E55" s="155"/>
      <c r="F55" s="155"/>
    </row>
    <row r="59" spans="1:7" x14ac:dyDescent="0.25">
      <c r="C59" s="155"/>
      <c r="D59" s="155"/>
      <c r="E59" s="155"/>
      <c r="F59" s="155"/>
    </row>
    <row r="63" spans="1:7" x14ac:dyDescent="0.25">
      <c r="C63" s="155"/>
      <c r="D63" s="155"/>
      <c r="F63" s="155"/>
    </row>
    <row r="67" spans="3:6" x14ac:dyDescent="0.25">
      <c r="C67" s="155"/>
      <c r="D67" s="155"/>
      <c r="F67" s="155"/>
    </row>
    <row r="69" spans="3:6" x14ac:dyDescent="0.25">
      <c r="C69" s="155"/>
      <c r="D69" s="155"/>
    </row>
    <row r="73" spans="3:6" x14ac:dyDescent="0.25">
      <c r="C73" s="155"/>
      <c r="D73" s="155"/>
      <c r="E73" s="155"/>
      <c r="F73" s="155"/>
    </row>
    <row r="75" spans="3:6" x14ac:dyDescent="0.25">
      <c r="C75" s="155"/>
      <c r="D75" s="155"/>
      <c r="E75" s="155"/>
      <c r="F75" s="155"/>
    </row>
    <row r="77" spans="3:6" x14ac:dyDescent="0.25">
      <c r="C77" s="155"/>
      <c r="D77" s="155"/>
      <c r="E77" s="155"/>
      <c r="F77" s="155"/>
    </row>
    <row r="79" spans="3:6" x14ac:dyDescent="0.25">
      <c r="E79" s="155"/>
      <c r="F79" s="155"/>
    </row>
    <row r="81" spans="3:6" x14ac:dyDescent="0.25">
      <c r="C81" s="155"/>
      <c r="D81" s="155"/>
      <c r="E81" s="155"/>
      <c r="F81" s="155"/>
    </row>
    <row r="83" spans="3:6" x14ac:dyDescent="0.25">
      <c r="C83" s="155"/>
      <c r="D83" s="155"/>
      <c r="E83" s="155"/>
      <c r="F83" s="155"/>
    </row>
    <row r="85" spans="3:6" x14ac:dyDescent="0.25">
      <c r="E85" s="155"/>
      <c r="F85" s="155"/>
    </row>
    <row r="89" spans="3:6" x14ac:dyDescent="0.25">
      <c r="C89" s="155"/>
      <c r="D89" s="155"/>
      <c r="E89" s="155"/>
      <c r="F89" s="155"/>
    </row>
    <row r="91" spans="3:6" x14ac:dyDescent="0.25">
      <c r="C91" s="192"/>
      <c r="D91" s="192"/>
      <c r="E91" s="192"/>
      <c r="F91" s="192"/>
    </row>
  </sheetData>
  <mergeCells count="1">
    <mergeCell ref="D3:G3"/>
  </mergeCells>
  <hyperlinks>
    <hyperlink ref="C55" r:id="rId1" xr:uid="{C13EB387-36E6-43C2-BEF0-B62538027958}"/>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F2F2"/>
  </sheetPr>
  <dimension ref="B1:L72"/>
  <sheetViews>
    <sheetView showGridLines="0" zoomScale="125" zoomScaleNormal="125" zoomScalePageLayoutView="125" workbookViewId="0">
      <selection activeCell="P7" sqref="P7"/>
    </sheetView>
  </sheetViews>
  <sheetFormatPr defaultColWidth="10.85546875" defaultRowHeight="14.1" customHeight="1" x14ac:dyDescent="0.25"/>
  <cols>
    <col min="1" max="1" width="2.7109375" style="1" customWidth="1"/>
    <col min="2" max="2" width="6.7109375" style="1" customWidth="1"/>
    <col min="3" max="3" width="7.28515625" style="14" customWidth="1"/>
    <col min="4" max="4" width="31.85546875" style="1" customWidth="1"/>
    <col min="5" max="7" width="14.7109375" style="1" customWidth="1"/>
    <col min="8" max="8" width="1.7109375" style="1" hidden="1" customWidth="1"/>
    <col min="9" max="11" width="12.7109375" style="1" hidden="1" customWidth="1"/>
    <col min="12" max="12" width="11" style="1" bestFit="1" customWidth="1"/>
    <col min="13" max="16384" width="10.85546875" style="1"/>
  </cols>
  <sheetData>
    <row r="1" spans="2:12" s="9" customFormat="1" ht="9.75" customHeight="1" x14ac:dyDescent="0.25">
      <c r="B1" s="80"/>
    </row>
    <row r="2" spans="2:12" s="8" customFormat="1" ht="37.5" customHeight="1" x14ac:dyDescent="0.25">
      <c r="B2" s="19" t="s">
        <v>642</v>
      </c>
      <c r="C2" s="16"/>
      <c r="I2" s="149"/>
      <c r="L2" s="1"/>
    </row>
    <row r="3" spans="2:12" ht="18.75" customHeight="1" x14ac:dyDescent="0.25">
      <c r="B3" s="712" t="s">
        <v>13</v>
      </c>
      <c r="C3" s="287" t="s">
        <v>54</v>
      </c>
      <c r="D3" s="712" t="s">
        <v>55</v>
      </c>
      <c r="E3" s="708">
        <v>2018</v>
      </c>
      <c r="F3" s="288"/>
      <c r="G3" s="289"/>
      <c r="H3" s="142"/>
      <c r="I3" s="710">
        <v>2017</v>
      </c>
      <c r="J3" s="764"/>
      <c r="K3" s="765"/>
    </row>
    <row r="4" spans="2:12" ht="18.75" customHeight="1" x14ac:dyDescent="0.25">
      <c r="B4" s="62">
        <v>1</v>
      </c>
      <c r="C4" s="69"/>
      <c r="D4" s="70" t="s">
        <v>643</v>
      </c>
      <c r="E4" s="290"/>
      <c r="F4" s="73"/>
      <c r="G4" s="74"/>
      <c r="H4" s="142"/>
      <c r="I4" s="71"/>
      <c r="J4" s="73"/>
      <c r="K4" s="143"/>
    </row>
    <row r="5" spans="2:12" ht="18.75" customHeight="1" x14ac:dyDescent="0.25">
      <c r="B5" s="62">
        <f>B4+1</f>
        <v>2</v>
      </c>
      <c r="C5" s="69">
        <v>201</v>
      </c>
      <c r="D5" s="70" t="s">
        <v>644</v>
      </c>
      <c r="E5" s="334">
        <v>83574663</v>
      </c>
      <c r="F5" s="73"/>
      <c r="G5" s="74"/>
      <c r="H5" s="142"/>
      <c r="I5" s="145">
        <v>81471319</v>
      </c>
      <c r="J5" s="73"/>
      <c r="K5" s="143"/>
    </row>
    <row r="6" spans="2:12" ht="18.75" customHeight="1" x14ac:dyDescent="0.25">
      <c r="B6" s="62">
        <f t="shared" ref="B6:B17" si="0">B5+1</f>
        <v>3</v>
      </c>
      <c r="C6" s="69">
        <v>213</v>
      </c>
      <c r="D6" s="70" t="s">
        <v>645</v>
      </c>
      <c r="E6" s="334">
        <v>-2269968</v>
      </c>
      <c r="F6" s="73"/>
      <c r="G6" s="74"/>
      <c r="H6" s="142"/>
      <c r="I6" s="145">
        <v>-2269968</v>
      </c>
      <c r="J6" s="73"/>
      <c r="K6" s="143"/>
    </row>
    <row r="7" spans="2:12" ht="18.75" customHeight="1" x14ac:dyDescent="0.25">
      <c r="B7" s="62">
        <f t="shared" si="0"/>
        <v>4</v>
      </c>
      <c r="C7" s="69">
        <v>215</v>
      </c>
      <c r="D7" s="70" t="s">
        <v>325</v>
      </c>
      <c r="E7" s="334">
        <v>45709977</v>
      </c>
      <c r="F7" s="73"/>
      <c r="G7" s="74"/>
      <c r="H7" s="142"/>
      <c r="I7" s="145">
        <v>40667290</v>
      </c>
      <c r="J7" s="73"/>
      <c r="K7" s="143"/>
    </row>
    <row r="8" spans="2:12" ht="18.75" customHeight="1" x14ac:dyDescent="0.25">
      <c r="B8" s="62">
        <f t="shared" si="0"/>
        <v>5</v>
      </c>
      <c r="C8" s="69"/>
      <c r="D8" s="70" t="s">
        <v>646</v>
      </c>
      <c r="E8" s="334">
        <f t="shared" ref="E8" si="1">SUM(E5:E7)</f>
        <v>127014672</v>
      </c>
      <c r="F8" s="73"/>
      <c r="G8" s="74"/>
      <c r="H8" s="142"/>
      <c r="I8" s="145">
        <f>SUM(I5:I7)</f>
        <v>119868641</v>
      </c>
      <c r="J8" s="73"/>
      <c r="K8" s="143"/>
      <c r="L8" s="114"/>
    </row>
    <row r="9" spans="2:12" ht="18.75" customHeight="1" x14ac:dyDescent="0.25">
      <c r="B9" s="62">
        <f t="shared" si="0"/>
        <v>6</v>
      </c>
      <c r="C9" s="69"/>
      <c r="D9" s="70"/>
      <c r="E9" s="334"/>
      <c r="F9" s="73"/>
      <c r="G9" s="74"/>
      <c r="H9" s="142"/>
      <c r="I9" s="145"/>
      <c r="J9" s="73"/>
      <c r="K9" s="143"/>
      <c r="L9" s="114"/>
    </row>
    <row r="10" spans="2:12" ht="18.75" customHeight="1" x14ac:dyDescent="0.25">
      <c r="B10" s="62">
        <f t="shared" si="0"/>
        <v>7</v>
      </c>
      <c r="C10" s="69"/>
      <c r="D10" s="70" t="s">
        <v>320</v>
      </c>
      <c r="E10" s="334"/>
      <c r="F10" s="73"/>
      <c r="G10" s="74"/>
      <c r="H10" s="142"/>
      <c r="I10" s="145"/>
      <c r="J10" s="73"/>
      <c r="K10" s="143"/>
    </row>
    <row r="11" spans="2:12" ht="18.75" customHeight="1" x14ac:dyDescent="0.25">
      <c r="B11" s="62">
        <f t="shared" si="0"/>
        <v>8</v>
      </c>
      <c r="C11" s="69">
        <v>221</v>
      </c>
      <c r="D11" s="70" t="s">
        <v>647</v>
      </c>
      <c r="E11" s="334">
        <v>87370000</v>
      </c>
      <c r="F11" s="73"/>
      <c r="G11" s="74"/>
      <c r="H11" s="142"/>
      <c r="I11" s="145">
        <v>87370000</v>
      </c>
      <c r="J11" s="73"/>
      <c r="K11" s="143"/>
    </row>
    <row r="12" spans="2:12" ht="18.75" customHeight="1" x14ac:dyDescent="0.25">
      <c r="B12" s="62">
        <f t="shared" si="0"/>
        <v>9</v>
      </c>
      <c r="C12" s="69">
        <v>224</v>
      </c>
      <c r="D12" s="70" t="s">
        <v>648</v>
      </c>
      <c r="E12" s="334">
        <v>8507719</v>
      </c>
      <c r="F12" s="73"/>
      <c r="G12" s="74"/>
      <c r="H12" s="142"/>
      <c r="I12" s="145">
        <v>5419252</v>
      </c>
      <c r="J12" s="73"/>
      <c r="K12" s="143"/>
    </row>
    <row r="13" spans="2:12" ht="18.75" customHeight="1" x14ac:dyDescent="0.25">
      <c r="B13" s="62">
        <f t="shared" si="0"/>
        <v>10</v>
      </c>
      <c r="C13" s="69"/>
      <c r="D13" s="70" t="s">
        <v>649</v>
      </c>
      <c r="E13" s="334">
        <f t="shared" ref="E13" si="2">SUM(E11:E12)</f>
        <v>95877719</v>
      </c>
      <c r="F13" s="73"/>
      <c r="G13" s="74"/>
      <c r="H13" s="142"/>
      <c r="I13" s="145">
        <f>SUM(I11:I12)</f>
        <v>92789252</v>
      </c>
      <c r="J13" s="73"/>
      <c r="K13" s="143"/>
      <c r="L13" s="213"/>
    </row>
    <row r="14" spans="2:12" ht="18.75" customHeight="1" x14ac:dyDescent="0.25">
      <c r="B14" s="62">
        <f t="shared" si="0"/>
        <v>11</v>
      </c>
      <c r="C14" s="69"/>
      <c r="D14" s="70"/>
      <c r="E14" s="334"/>
      <c r="F14" s="73"/>
      <c r="G14" s="74"/>
      <c r="H14" s="142"/>
      <c r="I14" s="145"/>
      <c r="J14" s="73"/>
      <c r="K14" s="143"/>
      <c r="L14" s="114"/>
    </row>
    <row r="15" spans="2:12" ht="18.75" customHeight="1" x14ac:dyDescent="0.25">
      <c r="B15" s="62">
        <f t="shared" si="0"/>
        <v>12</v>
      </c>
      <c r="C15" s="69"/>
      <c r="D15" s="70" t="s">
        <v>650</v>
      </c>
      <c r="E15" s="334">
        <f t="shared" ref="E15" si="3">E8+E13</f>
        <v>222892391</v>
      </c>
      <c r="F15" s="73"/>
      <c r="G15" s="74"/>
      <c r="H15" s="142"/>
      <c r="I15" s="145">
        <f>I8+I13</f>
        <v>212657893</v>
      </c>
      <c r="J15" s="73"/>
      <c r="K15" s="143"/>
      <c r="L15" s="114"/>
    </row>
    <row r="16" spans="2:12" ht="18.75" customHeight="1" x14ac:dyDescent="0.25">
      <c r="B16" s="62">
        <f t="shared" si="0"/>
        <v>13</v>
      </c>
      <c r="C16" s="69"/>
      <c r="D16" s="70"/>
      <c r="E16" s="335"/>
      <c r="F16" s="73"/>
      <c r="G16" s="74"/>
      <c r="H16" s="142"/>
      <c r="I16" s="72"/>
      <c r="J16" s="73"/>
      <c r="K16" s="143"/>
    </row>
    <row r="17" spans="2:12" ht="18.75" customHeight="1" x14ac:dyDescent="0.25">
      <c r="B17" s="62">
        <f t="shared" si="0"/>
        <v>14</v>
      </c>
      <c r="C17" s="69"/>
      <c r="D17" s="151" t="s">
        <v>651</v>
      </c>
      <c r="E17" s="335"/>
      <c r="F17" s="73"/>
      <c r="G17" s="74"/>
      <c r="H17" s="142"/>
      <c r="I17" s="72"/>
      <c r="J17" s="73"/>
      <c r="K17" s="143"/>
    </row>
    <row r="18" spans="2:12" ht="18.75" customHeight="1" x14ac:dyDescent="0.25">
      <c r="B18" s="62">
        <f>B17+1</f>
        <v>15</v>
      </c>
      <c r="C18" s="69"/>
      <c r="D18" s="70" t="s">
        <v>652</v>
      </c>
      <c r="E18" s="658">
        <v>9.6699999999999994E-2</v>
      </c>
      <c r="F18" s="73"/>
      <c r="G18" s="74"/>
      <c r="H18" s="142"/>
      <c r="I18" s="93">
        <v>9.9500000000000005E-2</v>
      </c>
      <c r="J18" s="73"/>
      <c r="K18" s="143"/>
    </row>
    <row r="19" spans="2:12" ht="18.75" customHeight="1" x14ac:dyDescent="0.25">
      <c r="B19" s="62">
        <f t="shared" ref="B19:B24" si="4">B18+1</f>
        <v>16</v>
      </c>
      <c r="C19" s="69"/>
      <c r="D19" s="70" t="s">
        <v>653</v>
      </c>
      <c r="E19" s="659">
        <f>'12-Debt'!J26</f>
        <v>5.5946629407227402E-2</v>
      </c>
      <c r="F19" s="73"/>
      <c r="G19" s="74"/>
      <c r="H19" s="142"/>
      <c r="I19" s="92">
        <v>5.7700000000000001E-2</v>
      </c>
      <c r="J19" s="73"/>
      <c r="K19" s="143"/>
    </row>
    <row r="20" spans="2:12" ht="18.75" customHeight="1" x14ac:dyDescent="0.25">
      <c r="B20" s="62">
        <f t="shared" si="4"/>
        <v>17</v>
      </c>
      <c r="C20" s="96"/>
      <c r="D20" s="97"/>
      <c r="E20" s="335"/>
      <c r="F20" s="104"/>
      <c r="G20" s="105"/>
      <c r="H20" s="142"/>
      <c r="I20" s="102"/>
      <c r="J20" s="104"/>
      <c r="K20" s="144"/>
    </row>
    <row r="21" spans="2:12" ht="18.75" customHeight="1" x14ac:dyDescent="0.25">
      <c r="B21" s="62">
        <f t="shared" si="4"/>
        <v>18</v>
      </c>
      <c r="C21" s="96"/>
      <c r="D21" s="97" t="s">
        <v>654</v>
      </c>
      <c r="E21" s="660" t="s">
        <v>655</v>
      </c>
      <c r="F21" s="142" t="s">
        <v>656</v>
      </c>
      <c r="G21" s="142" t="s">
        <v>657</v>
      </c>
      <c r="H21" s="142"/>
      <c r="I21" s="98" t="s">
        <v>655</v>
      </c>
      <c r="J21" s="711" t="s">
        <v>656</v>
      </c>
      <c r="K21" s="711" t="s">
        <v>657</v>
      </c>
    </row>
    <row r="22" spans="2:12" ht="18.75" customHeight="1" x14ac:dyDescent="0.25">
      <c r="B22" s="62">
        <f t="shared" si="4"/>
        <v>19</v>
      </c>
      <c r="C22" s="69"/>
      <c r="D22" s="70" t="s">
        <v>658</v>
      </c>
      <c r="E22" s="659">
        <f>E8/E15</f>
        <v>0.5698475009853522</v>
      </c>
      <c r="F22" s="659">
        <f>E18</f>
        <v>9.6699999999999994E-2</v>
      </c>
      <c r="G22" s="659">
        <f>F22*E22</f>
        <v>5.5104253345283551E-2</v>
      </c>
      <c r="H22" s="142"/>
      <c r="I22" s="95">
        <f>I8/I15</f>
        <v>0.56366890176984874</v>
      </c>
      <c r="J22" s="95">
        <f>I18</f>
        <v>9.9500000000000005E-2</v>
      </c>
      <c r="K22" s="95">
        <f>I22*J22</f>
        <v>5.6085055726099953E-2</v>
      </c>
    </row>
    <row r="23" spans="2:12" ht="18.75" customHeight="1" x14ac:dyDescent="0.25">
      <c r="B23" s="62">
        <f t="shared" si="4"/>
        <v>20</v>
      </c>
      <c r="C23" s="69"/>
      <c r="D23" s="70" t="s">
        <v>659</v>
      </c>
      <c r="E23" s="659">
        <f>E13/E15</f>
        <v>0.43015249901464786</v>
      </c>
      <c r="F23" s="659">
        <f>E19</f>
        <v>5.5946629407227402E-2</v>
      </c>
      <c r="G23" s="659">
        <f>F23*E23</f>
        <v>2.4065582450965253E-2</v>
      </c>
      <c r="H23" s="142"/>
      <c r="I23" s="95">
        <f>I13/I15</f>
        <v>0.43633109823015126</v>
      </c>
      <c r="J23" s="95">
        <f>I19</f>
        <v>5.7700000000000001E-2</v>
      </c>
      <c r="K23" s="95">
        <f>I23*J23</f>
        <v>2.5176304367879727E-2</v>
      </c>
    </row>
    <row r="24" spans="2:12" ht="18.75" customHeight="1" x14ac:dyDescent="0.25">
      <c r="B24" s="62">
        <f t="shared" si="4"/>
        <v>21</v>
      </c>
      <c r="C24" s="69"/>
      <c r="D24" s="70" t="s">
        <v>660</v>
      </c>
      <c r="E24" s="659">
        <f t="shared" ref="E24" si="5">SUM(E22:E23)</f>
        <v>1</v>
      </c>
      <c r="F24" s="659"/>
      <c r="G24" s="659">
        <f>SUM(G22:G23)</f>
        <v>7.9169835796248811E-2</v>
      </c>
      <c r="H24" s="146"/>
      <c r="I24" s="95">
        <f>SUM(I22:I23)</f>
        <v>1</v>
      </c>
      <c r="J24" s="95"/>
      <c r="K24" s="95">
        <f>SUM(K22:K23)</f>
        <v>8.1261360093979676E-2</v>
      </c>
    </row>
    <row r="25" spans="2:12" ht="18.75" customHeight="1" x14ac:dyDescent="0.25">
      <c r="C25" s="1"/>
    </row>
    <row r="26" spans="2:12" ht="14.1" customHeight="1" x14ac:dyDescent="0.25">
      <c r="B26" s="1" t="s">
        <v>661</v>
      </c>
      <c r="C26" s="1"/>
    </row>
    <row r="27" spans="2:12" ht="14.1" customHeight="1" x14ac:dyDescent="0.25">
      <c r="B27" s="1" t="s">
        <v>662</v>
      </c>
      <c r="C27" s="1"/>
    </row>
    <row r="28" spans="2:12" ht="14.1" customHeight="1" x14ac:dyDescent="0.25">
      <c r="L28" s="109"/>
    </row>
    <row r="29" spans="2:12" ht="14.1" customHeight="1" x14ac:dyDescent="0.25">
      <c r="L29" s="109"/>
    </row>
    <row r="72" spans="2:2" ht="14.1" customHeight="1" x14ac:dyDescent="0.25">
      <c r="B72" s="1" t="s">
        <v>663</v>
      </c>
    </row>
  </sheetData>
  <mergeCells count="1">
    <mergeCell ref="J3:K3"/>
  </mergeCells>
  <phoneticPr fontId="13" type="noConversion"/>
  <pageMargins left="0.75" right="0.75" top="1" bottom="1" header="0.5" footer="0.5"/>
  <pageSetup orientation="portrait" horizontalDpi="4294967292" verticalDpi="4294967292"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5DF72-B546-47A5-BF57-AB6F400A05B4}">
  <dimension ref="A1:E33"/>
  <sheetViews>
    <sheetView showGridLines="0" workbookViewId="0"/>
  </sheetViews>
  <sheetFormatPr defaultColWidth="9.140625" defaultRowHeight="15" x14ac:dyDescent="0.25"/>
  <cols>
    <col min="1" max="1" width="2.7109375" style="1" customWidth="1"/>
    <col min="2" max="2" width="6.7109375" style="5" customWidth="1"/>
    <col min="3" max="3" width="10.7109375" style="211" customWidth="1"/>
    <col min="4" max="5" width="10.7109375" style="5" customWidth="1"/>
    <col min="6" max="16384" width="9.140625" style="5"/>
  </cols>
  <sheetData>
    <row r="1" spans="1:5" s="9" customFormat="1" ht="9.75" customHeight="1" x14ac:dyDescent="0.25">
      <c r="B1" s="80"/>
    </row>
    <row r="2" spans="1:5" ht="37.5" customHeight="1" x14ac:dyDescent="0.25">
      <c r="A2" s="8"/>
      <c r="B2" s="19" t="s">
        <v>664</v>
      </c>
      <c r="C2" s="16"/>
      <c r="D2" s="8"/>
      <c r="E2" s="8"/>
    </row>
    <row r="3" spans="1:5" ht="18.75" customHeight="1" x14ac:dyDescent="0.25">
      <c r="B3" s="712" t="s">
        <v>13</v>
      </c>
      <c r="C3" s="712" t="s">
        <v>665</v>
      </c>
      <c r="D3" s="712" t="s">
        <v>666</v>
      </c>
      <c r="E3" s="712" t="s">
        <v>667</v>
      </c>
    </row>
    <row r="4" spans="1:5" ht="18.75" customHeight="1" x14ac:dyDescent="0.25">
      <c r="B4" s="62">
        <v>1</v>
      </c>
      <c r="C4" s="44" t="s">
        <v>668</v>
      </c>
      <c r="D4" s="147">
        <v>0.10199999999999999</v>
      </c>
      <c r="E4" s="147">
        <v>0.108</v>
      </c>
    </row>
    <row r="5" spans="1:5" ht="18.75" customHeight="1" x14ac:dyDescent="0.25">
      <c r="B5" s="62">
        <f>B4+1</f>
        <v>2</v>
      </c>
      <c r="C5" s="44" t="s">
        <v>669</v>
      </c>
      <c r="D5" s="147">
        <v>0.10199999999999999</v>
      </c>
      <c r="E5" s="147">
        <v>0.10199999999999999</v>
      </c>
    </row>
    <row r="6" spans="1:5" ht="18.75" customHeight="1" x14ac:dyDescent="0.25">
      <c r="B6" s="62">
        <f t="shared" ref="B6:B24" si="0">B5+1</f>
        <v>3</v>
      </c>
      <c r="C6" s="44" t="s">
        <v>670</v>
      </c>
      <c r="D6" s="147">
        <v>0.107</v>
      </c>
      <c r="E6" s="147">
        <v>0.107</v>
      </c>
    </row>
    <row r="7" spans="1:5" ht="18.75" customHeight="1" x14ac:dyDescent="0.25">
      <c r="B7" s="62">
        <f t="shared" si="0"/>
        <v>4</v>
      </c>
      <c r="C7" s="44" t="s">
        <v>671</v>
      </c>
      <c r="D7" s="147">
        <v>0.109</v>
      </c>
      <c r="E7" s="147">
        <v>0.109</v>
      </c>
    </row>
    <row r="8" spans="1:5" ht="18.75" customHeight="1" x14ac:dyDescent="0.25">
      <c r="B8" s="62">
        <f t="shared" si="0"/>
        <v>5</v>
      </c>
      <c r="C8" s="44" t="s">
        <v>672</v>
      </c>
      <c r="D8" s="147">
        <v>0.123</v>
      </c>
      <c r="E8" s="147">
        <v>0.11600000000000001</v>
      </c>
    </row>
    <row r="9" spans="1:5" ht="18.75" customHeight="1" x14ac:dyDescent="0.25">
      <c r="B9" s="62">
        <f t="shared" si="0"/>
        <v>6</v>
      </c>
      <c r="C9" s="44" t="s">
        <v>673</v>
      </c>
      <c r="D9" s="147">
        <v>0.127</v>
      </c>
      <c r="E9" s="147">
        <v>0.127</v>
      </c>
    </row>
    <row r="10" spans="1:5" ht="18.75" customHeight="1" x14ac:dyDescent="0.25">
      <c r="B10" s="62">
        <f t="shared" si="0"/>
        <v>7</v>
      </c>
      <c r="C10" s="44" t="s">
        <v>674</v>
      </c>
      <c r="D10" s="147">
        <v>0.127</v>
      </c>
      <c r="E10" s="147">
        <v>0.127</v>
      </c>
    </row>
    <row r="11" spans="1:5" ht="18.75" customHeight="1" x14ac:dyDescent="0.25">
      <c r="B11" s="62">
        <f t="shared" si="0"/>
        <v>8</v>
      </c>
      <c r="C11" s="44" t="s">
        <v>675</v>
      </c>
      <c r="D11" s="147">
        <v>0.13600000000000001</v>
      </c>
      <c r="E11" s="147">
        <v>0.13600000000000001</v>
      </c>
    </row>
    <row r="12" spans="1:5" ht="18.75" customHeight="1" x14ac:dyDescent="0.25">
      <c r="B12" s="62">
        <f t="shared" si="0"/>
        <v>9</v>
      </c>
      <c r="C12" s="44" t="s">
        <v>676</v>
      </c>
      <c r="D12" s="147">
        <v>0.125</v>
      </c>
      <c r="E12" s="147">
        <v>0.111</v>
      </c>
    </row>
    <row r="13" spans="1:5" ht="18.75" customHeight="1" x14ac:dyDescent="0.25">
      <c r="B13" s="62">
        <f t="shared" si="0"/>
        <v>10</v>
      </c>
      <c r="C13" s="44" t="s">
        <v>677</v>
      </c>
      <c r="D13" s="147">
        <v>0.124</v>
      </c>
      <c r="E13" s="147">
        <v>0.109</v>
      </c>
    </row>
    <row r="14" spans="1:5" ht="18.75" customHeight="1" x14ac:dyDescent="0.25">
      <c r="B14" s="62">
        <f t="shared" si="0"/>
        <v>11</v>
      </c>
      <c r="C14" s="44" t="s">
        <v>678</v>
      </c>
      <c r="D14" s="147">
        <v>0.122</v>
      </c>
      <c r="E14" s="147">
        <v>0.108</v>
      </c>
    </row>
    <row r="15" spans="1:5" ht="18.75" customHeight="1" x14ac:dyDescent="0.25">
      <c r="B15" s="62">
        <f t="shared" si="0"/>
        <v>12</v>
      </c>
      <c r="C15" s="44" t="s">
        <v>678</v>
      </c>
      <c r="D15" s="147">
        <v>0.122</v>
      </c>
      <c r="E15" s="147">
        <v>0.11</v>
      </c>
    </row>
    <row r="16" spans="1:5" ht="18.75" customHeight="1" x14ac:dyDescent="0.25">
      <c r="B16" s="62">
        <f t="shared" si="0"/>
        <v>13</v>
      </c>
      <c r="C16" s="44" t="s">
        <v>679</v>
      </c>
      <c r="D16" s="147">
        <v>0.115</v>
      </c>
      <c r="E16" s="147">
        <v>0.104</v>
      </c>
    </row>
    <row r="17" spans="2:5" ht="18.75" customHeight="1" x14ac:dyDescent="0.25">
      <c r="B17" s="62">
        <f t="shared" si="0"/>
        <v>14</v>
      </c>
      <c r="C17" s="44" t="s">
        <v>680</v>
      </c>
      <c r="D17" s="147">
        <v>0.11609999999999999</v>
      </c>
      <c r="E17" s="147">
        <v>9.5000000000000001E-2</v>
      </c>
    </row>
    <row r="18" spans="2:5" ht="18.75" customHeight="1" x14ac:dyDescent="0.25">
      <c r="B18" s="62">
        <f t="shared" si="0"/>
        <v>15</v>
      </c>
      <c r="C18" s="44" t="s">
        <v>681</v>
      </c>
      <c r="D18" s="147">
        <v>0.11600000000000001</v>
      </c>
      <c r="E18" s="147">
        <v>9.0999999999999998E-2</v>
      </c>
    </row>
    <row r="19" spans="2:5" ht="18.75" customHeight="1" x14ac:dyDescent="0.25">
      <c r="B19" s="62">
        <f t="shared" si="0"/>
        <v>16</v>
      </c>
      <c r="C19" s="44" t="s">
        <v>682</v>
      </c>
      <c r="D19" s="147">
        <v>0.11600000000000001</v>
      </c>
      <c r="E19" s="147">
        <v>8.6999999999999994E-2</v>
      </c>
    </row>
    <row r="20" spans="2:5" ht="18.75" customHeight="1" x14ac:dyDescent="0.25">
      <c r="B20" s="62">
        <f t="shared" si="0"/>
        <v>17</v>
      </c>
      <c r="C20" s="44" t="s">
        <v>683</v>
      </c>
      <c r="D20" s="147">
        <v>0.113</v>
      </c>
      <c r="E20" s="147">
        <v>8.4000000000000005E-2</v>
      </c>
    </row>
    <row r="21" spans="2:5" ht="18.75" customHeight="1" x14ac:dyDescent="0.25">
      <c r="B21" s="62">
        <f t="shared" si="0"/>
        <v>18</v>
      </c>
      <c r="C21" s="44" t="s">
        <v>684</v>
      </c>
      <c r="D21" s="419"/>
      <c r="E21" s="419"/>
    </row>
    <row r="22" spans="2:5" ht="18.75" customHeight="1" x14ac:dyDescent="0.25">
      <c r="B22" s="62">
        <f t="shared" si="0"/>
        <v>19</v>
      </c>
      <c r="C22" s="44" t="s">
        <v>685</v>
      </c>
      <c r="D22" s="419"/>
      <c r="E22" s="419"/>
    </row>
    <row r="23" spans="2:5" ht="18.75" customHeight="1" x14ac:dyDescent="0.25">
      <c r="B23" s="62">
        <f t="shared" si="0"/>
        <v>20</v>
      </c>
      <c r="C23" s="44" t="s">
        <v>686</v>
      </c>
      <c r="D23" s="419"/>
      <c r="E23" s="419"/>
    </row>
    <row r="24" spans="2:5" ht="18.75" customHeight="1" x14ac:dyDescent="0.25">
      <c r="B24" s="77">
        <f t="shared" si="0"/>
        <v>21</v>
      </c>
      <c r="C24" s="440" t="s">
        <v>687</v>
      </c>
      <c r="D24" s="642">
        <v>0.107</v>
      </c>
      <c r="E24" s="642">
        <v>0.10299999999999999</v>
      </c>
    </row>
    <row r="25" spans="2:5" ht="18.75" customHeight="1" x14ac:dyDescent="0.25">
      <c r="B25" s="62">
        <v>22</v>
      </c>
      <c r="C25" s="44" t="s">
        <v>688</v>
      </c>
      <c r="D25" s="417">
        <v>0.11600000000000001</v>
      </c>
      <c r="E25" s="417"/>
    </row>
    <row r="26" spans="2:5" ht="18.75" customHeight="1" x14ac:dyDescent="0.25">
      <c r="B26" s="62">
        <v>23</v>
      </c>
      <c r="C26" s="44" t="s">
        <v>689</v>
      </c>
      <c r="D26" s="417">
        <v>0.11799999999999999</v>
      </c>
      <c r="E26" s="417">
        <v>0.11799999999999999</v>
      </c>
    </row>
    <row r="27" spans="2:5" ht="18.75" customHeight="1" x14ac:dyDescent="0.25"/>
    <row r="28" spans="2:5" x14ac:dyDescent="0.25">
      <c r="B28" s="100" t="s">
        <v>690</v>
      </c>
    </row>
    <row r="29" spans="2:5" ht="54.75" customHeight="1" x14ac:dyDescent="0.25">
      <c r="B29" s="766" t="s">
        <v>691</v>
      </c>
      <c r="C29" s="766"/>
      <c r="D29" s="766"/>
      <c r="E29" s="766"/>
    </row>
    <row r="30" spans="2:5" x14ac:dyDescent="0.25">
      <c r="B30" s="418" t="s">
        <v>692</v>
      </c>
    </row>
    <row r="31" spans="2:5" x14ac:dyDescent="0.25">
      <c r="B31" s="1"/>
      <c r="C31" s="1"/>
      <c r="D31" s="1"/>
      <c r="E31" s="1"/>
    </row>
    <row r="32" spans="2:5" x14ac:dyDescent="0.25">
      <c r="C32" s="14"/>
      <c r="D32" s="1"/>
      <c r="E32" s="1"/>
    </row>
    <row r="33" spans="2:5" x14ac:dyDescent="0.25">
      <c r="B33" s="1"/>
      <c r="C33" s="14"/>
      <c r="D33" s="1"/>
      <c r="E33" s="1"/>
    </row>
  </sheetData>
  <mergeCells count="1">
    <mergeCell ref="B29:E29"/>
  </mergeCells>
  <hyperlinks>
    <hyperlink ref="B30" r:id="rId1" xr:uid="{60020004-F25C-40E7-9B6B-8EF34B71D77B}"/>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69D97-12D5-4C58-AAD3-9E8227BA928D}">
  <sheetPr>
    <tabColor rgb="FFF2F2F2"/>
    <pageSetUpPr fitToPage="1"/>
  </sheetPr>
  <dimension ref="A1:Q45"/>
  <sheetViews>
    <sheetView showGridLines="0" workbookViewId="0">
      <selection activeCell="O40" sqref="O40"/>
    </sheetView>
  </sheetViews>
  <sheetFormatPr defaultColWidth="9.140625" defaultRowHeight="15" x14ac:dyDescent="0.25"/>
  <cols>
    <col min="1" max="1" width="2.7109375" style="1" customWidth="1"/>
    <col min="2" max="2" width="6.7109375" style="1" customWidth="1"/>
    <col min="3" max="3" width="8.85546875" style="159" customWidth="1"/>
    <col min="4" max="4" width="46.42578125" style="100" customWidth="1"/>
    <col min="5" max="5" width="14.7109375" style="154" customWidth="1"/>
    <col min="6" max="6" width="6.7109375" style="154" customWidth="1"/>
    <col min="7" max="7" width="1.7109375" style="100" customWidth="1"/>
    <col min="8" max="8" width="14.7109375" style="100" customWidth="1"/>
    <col min="9" max="9" width="6.7109375" style="100" customWidth="1"/>
    <col min="10" max="10" width="1.7109375" style="100" customWidth="1"/>
    <col min="11" max="11" width="14.7109375" style="100" customWidth="1"/>
    <col min="12" max="12" width="6.7109375" style="100" customWidth="1"/>
    <col min="13" max="16384" width="9.140625" style="100"/>
  </cols>
  <sheetData>
    <row r="1" spans="1:17" s="9" customFormat="1" ht="9.75" customHeight="1" x14ac:dyDescent="0.25">
      <c r="B1" s="80"/>
      <c r="K1" s="620"/>
      <c r="L1" s="620"/>
    </row>
    <row r="2" spans="1:17" s="680" customFormat="1" ht="37.5" customHeight="1" x14ac:dyDescent="0.25">
      <c r="A2" s="676"/>
      <c r="B2" s="463" t="s">
        <v>693</v>
      </c>
      <c r="C2" s="677"/>
      <c r="D2" s="678"/>
      <c r="E2" s="679"/>
      <c r="F2" s="679"/>
      <c r="H2" s="110"/>
      <c r="M2" s="675"/>
      <c r="N2" s="110"/>
      <c r="O2" s="110"/>
      <c r="P2" s="110"/>
      <c r="Q2" s="110"/>
    </row>
    <row r="3" spans="1:17" s="1" customFormat="1" ht="18.75" customHeight="1" x14ac:dyDescent="0.25">
      <c r="B3" s="712" t="s">
        <v>13</v>
      </c>
      <c r="C3" s="712" t="s">
        <v>55</v>
      </c>
      <c r="D3" s="314" t="s">
        <v>55</v>
      </c>
      <c r="E3" s="767" t="s">
        <v>694</v>
      </c>
      <c r="F3" s="768"/>
      <c r="G3" s="528"/>
      <c r="H3" s="767" t="s">
        <v>695</v>
      </c>
      <c r="I3" s="768"/>
      <c r="J3" s="528"/>
      <c r="K3" s="767" t="s">
        <v>696</v>
      </c>
      <c r="L3" s="768"/>
      <c r="M3" s="138"/>
      <c r="N3" s="462"/>
      <c r="O3" s="462"/>
      <c r="P3" s="462"/>
      <c r="Q3" s="462"/>
    </row>
    <row r="4" spans="1:17" s="138" customFormat="1" ht="18.75" customHeight="1" x14ac:dyDescent="0.25">
      <c r="B4" s="56">
        <v>1</v>
      </c>
      <c r="C4" s="322"/>
      <c r="D4" s="339" t="s">
        <v>697</v>
      </c>
      <c r="E4" s="58" t="s">
        <v>698</v>
      </c>
      <c r="F4" s="58" t="s">
        <v>699</v>
      </c>
      <c r="G4" s="58"/>
      <c r="H4" s="58" t="s">
        <v>698</v>
      </c>
      <c r="I4" s="58" t="s">
        <v>699</v>
      </c>
      <c r="J4" s="58"/>
      <c r="K4" s="58" t="s">
        <v>698</v>
      </c>
      <c r="L4" s="58" t="s">
        <v>699</v>
      </c>
      <c r="N4" s="462"/>
      <c r="O4" s="462"/>
      <c r="P4" s="462"/>
      <c r="Q4" s="462"/>
    </row>
    <row r="5" spans="1:17" s="1" customFormat="1" ht="18.75" customHeight="1" x14ac:dyDescent="0.25">
      <c r="B5" s="62">
        <f>B4+1</f>
        <v>2</v>
      </c>
      <c r="C5" s="44" t="s">
        <v>700</v>
      </c>
      <c r="D5" s="337" t="s">
        <v>701</v>
      </c>
      <c r="E5" s="340">
        <f>'15-Income'!F28</f>
        <v>19104823</v>
      </c>
      <c r="F5" s="450">
        <f t="shared" ref="F5:F13" si="0">E5/$E$14</f>
        <v>0.40410091884156973</v>
      </c>
      <c r="G5" s="627"/>
      <c r="H5" s="301">
        <f>H25</f>
        <v>13221216</v>
      </c>
      <c r="I5" s="450">
        <f>H5/$H$14</f>
        <v>0.34327090477997224</v>
      </c>
      <c r="J5" s="627"/>
      <c r="K5" s="301">
        <f>K26</f>
        <v>11017680</v>
      </c>
      <c r="L5" s="341">
        <f>K5/$H$14</f>
        <v>0.28605908731664353</v>
      </c>
      <c r="M5" s="138"/>
      <c r="N5" s="462"/>
      <c r="O5" s="462"/>
      <c r="P5" s="462"/>
      <c r="Q5" s="462"/>
    </row>
    <row r="6" spans="1:17" s="1" customFormat="1" ht="18.75" customHeight="1" x14ac:dyDescent="0.25">
      <c r="B6" s="62">
        <f t="shared" ref="B6:B41" si="1">B5+1</f>
        <v>3</v>
      </c>
      <c r="C6" s="44"/>
      <c r="D6" s="337"/>
      <c r="E6" s="340"/>
      <c r="F6" s="450"/>
      <c r="G6" s="627"/>
      <c r="H6" s="301"/>
      <c r="I6" s="450"/>
      <c r="J6" s="627"/>
      <c r="K6" s="301"/>
      <c r="L6" s="341"/>
      <c r="M6" s="138"/>
      <c r="N6" s="138"/>
      <c r="O6" s="138"/>
      <c r="P6" s="138"/>
      <c r="Q6" s="138"/>
    </row>
    <row r="7" spans="1:17" s="1" customFormat="1" ht="18.75" customHeight="1" x14ac:dyDescent="0.25">
      <c r="B7" s="62">
        <f t="shared" si="1"/>
        <v>4</v>
      </c>
      <c r="C7" s="519" t="s">
        <v>702</v>
      </c>
      <c r="D7" s="204" t="s">
        <v>703</v>
      </c>
      <c r="E7" s="310">
        <f>'15-Income'!F6</f>
        <v>17479046</v>
      </c>
      <c r="F7" s="621">
        <f t="shared" si="0"/>
        <v>0.36971284942415139</v>
      </c>
      <c r="G7" s="208"/>
      <c r="H7" s="312">
        <f>E7</f>
        <v>17479046</v>
      </c>
      <c r="I7" s="621">
        <f>H7/$H$14</f>
        <v>0.45381967400810597</v>
      </c>
      <c r="J7" s="208"/>
      <c r="K7" s="312">
        <f>E7</f>
        <v>17479046</v>
      </c>
      <c r="L7" s="203">
        <f>K7/$H$14</f>
        <v>0.45381967400810597</v>
      </c>
    </row>
    <row r="8" spans="1:17" s="1" customFormat="1" ht="18.75" customHeight="1" x14ac:dyDescent="0.25">
      <c r="B8" s="62">
        <f t="shared" si="1"/>
        <v>5</v>
      </c>
      <c r="C8" s="519" t="s">
        <v>704</v>
      </c>
      <c r="D8" s="204" t="s">
        <v>705</v>
      </c>
      <c r="E8" s="310">
        <f>'15-Income'!F11</f>
        <v>6919991</v>
      </c>
      <c r="F8" s="621">
        <f t="shared" si="0"/>
        <v>0.14637009311603635</v>
      </c>
      <c r="G8" s="208"/>
      <c r="H8" s="312">
        <f>E8</f>
        <v>6919991</v>
      </c>
      <c r="I8" s="621">
        <f>H8/$H$14</f>
        <v>0.17966816150944551</v>
      </c>
      <c r="J8" s="208"/>
      <c r="K8" s="312">
        <f>E8</f>
        <v>6919991</v>
      </c>
      <c r="L8" s="203">
        <f>K8/$H$14</f>
        <v>0.17966816150944551</v>
      </c>
    </row>
    <row r="9" spans="1:17" s="1" customFormat="1" ht="18.75" customHeight="1" x14ac:dyDescent="0.25">
      <c r="B9" s="62">
        <f t="shared" si="1"/>
        <v>6</v>
      </c>
      <c r="C9" s="769" t="s">
        <v>706</v>
      </c>
      <c r="D9" s="204" t="s">
        <v>707</v>
      </c>
      <c r="E9" s="310">
        <f>'15-Income'!F14</f>
        <v>1118933</v>
      </c>
      <c r="F9" s="621">
        <f t="shared" si="0"/>
        <v>2.3667419134014177E-2</v>
      </c>
      <c r="G9" s="208"/>
      <c r="H9" s="205"/>
      <c r="I9" s="205"/>
      <c r="J9" s="208"/>
      <c r="K9" s="205"/>
      <c r="L9" s="205"/>
    </row>
    <row r="10" spans="1:17" s="1" customFormat="1" ht="18.75" customHeight="1" x14ac:dyDescent="0.25">
      <c r="B10" s="62">
        <f t="shared" si="1"/>
        <v>7</v>
      </c>
      <c r="C10" s="770"/>
      <c r="D10" s="204" t="s">
        <v>708</v>
      </c>
      <c r="E10" s="310">
        <f>'15-Income'!F15+'15-Income'!F16</f>
        <v>2588478</v>
      </c>
      <c r="F10" s="621">
        <f t="shared" si="0"/>
        <v>5.4750904428750205E-2</v>
      </c>
      <c r="G10" s="208"/>
      <c r="H10" s="205"/>
      <c r="I10" s="205"/>
      <c r="J10" s="208"/>
      <c r="K10" s="205"/>
      <c r="L10" s="205"/>
    </row>
    <row r="11" spans="1:17" s="1" customFormat="1" ht="18.75" customHeight="1" x14ac:dyDescent="0.25">
      <c r="B11" s="62">
        <f t="shared" si="1"/>
        <v>8</v>
      </c>
      <c r="C11" s="770"/>
      <c r="D11" s="204" t="s">
        <v>709</v>
      </c>
      <c r="E11" s="310">
        <f>'15-Income'!F22</f>
        <v>105332</v>
      </c>
      <c r="F11" s="621">
        <f t="shared" si="0"/>
        <v>2.227958771636891E-3</v>
      </c>
      <c r="G11" s="208"/>
      <c r="H11" s="205"/>
      <c r="I11" s="205"/>
      <c r="J11" s="208"/>
      <c r="K11" s="205"/>
      <c r="L11" s="205"/>
    </row>
    <row r="12" spans="1:17" s="1" customFormat="1" ht="18.75" customHeight="1" x14ac:dyDescent="0.25">
      <c r="B12" s="62">
        <f t="shared" si="1"/>
        <v>9</v>
      </c>
      <c r="C12" s="770"/>
      <c r="D12" s="204" t="s">
        <v>710</v>
      </c>
      <c r="E12" s="310">
        <f>'15-Income'!F24</f>
        <v>-39247</v>
      </c>
      <c r="F12" s="621">
        <f t="shared" si="0"/>
        <v>-8.3014371615874622E-4</v>
      </c>
      <c r="G12" s="208"/>
      <c r="H12" s="205"/>
      <c r="I12" s="205"/>
      <c r="J12" s="208"/>
      <c r="K12" s="205"/>
      <c r="L12" s="205"/>
      <c r="M12" s="383"/>
    </row>
    <row r="13" spans="1:17" s="1" customFormat="1" ht="18.75" customHeight="1" x14ac:dyDescent="0.25">
      <c r="B13" s="62">
        <f t="shared" si="1"/>
        <v>10</v>
      </c>
      <c r="C13" s="771"/>
      <c r="D13" s="204" t="s">
        <v>711</v>
      </c>
      <c r="E13" s="338">
        <v>0</v>
      </c>
      <c r="F13" s="621">
        <f t="shared" si="0"/>
        <v>0</v>
      </c>
      <c r="G13" s="208"/>
      <c r="H13" s="312">
        <f>E9*0.8</f>
        <v>895146.4</v>
      </c>
      <c r="I13" s="621">
        <f>H13/$H$14</f>
        <v>2.3241259702476307E-2</v>
      </c>
      <c r="J13" s="208"/>
      <c r="K13" s="312">
        <f>H13/2</f>
        <v>447573.2</v>
      </c>
      <c r="L13" s="621">
        <f>K13/$H$14</f>
        <v>1.1620629851238153E-2</v>
      </c>
      <c r="M13" s="383"/>
    </row>
    <row r="14" spans="1:17" s="1" customFormat="1" ht="18.75" customHeight="1" x14ac:dyDescent="0.25">
      <c r="B14" s="62">
        <f t="shared" si="1"/>
        <v>11</v>
      </c>
      <c r="C14" s="519" t="s">
        <v>712</v>
      </c>
      <c r="D14" s="204" t="s">
        <v>713</v>
      </c>
      <c r="E14" s="310">
        <f>SUM(E5:E12)</f>
        <v>47277356</v>
      </c>
      <c r="F14" s="621">
        <f>E14/$E$14</f>
        <v>1</v>
      </c>
      <c r="G14" s="208"/>
      <c r="H14" s="310">
        <f>SUM(H5:H13)</f>
        <v>38515399.399999999</v>
      </c>
      <c r="I14" s="621">
        <f>H14/$H$14</f>
        <v>1</v>
      </c>
      <c r="J14" s="208"/>
      <c r="K14" s="310">
        <f>SUM(K5:K13)</f>
        <v>35864290.200000003</v>
      </c>
      <c r="L14" s="621">
        <f>K14/$K$14</f>
        <v>1</v>
      </c>
    </row>
    <row r="15" spans="1:17" s="1" customFormat="1" ht="18.75" customHeight="1" x14ac:dyDescent="0.25">
      <c r="B15" s="62">
        <f t="shared" si="1"/>
        <v>12</v>
      </c>
      <c r="C15" s="519"/>
      <c r="D15" s="204"/>
      <c r="E15" s="310"/>
      <c r="F15" s="628"/>
      <c r="G15" s="208"/>
      <c r="H15" s="312"/>
      <c r="I15" s="208"/>
      <c r="J15" s="208"/>
      <c r="K15" s="312"/>
      <c r="L15" s="68"/>
    </row>
    <row r="16" spans="1:17" s="1" customFormat="1" ht="18.75" customHeight="1" x14ac:dyDescent="0.25">
      <c r="B16" s="62">
        <f t="shared" si="1"/>
        <v>13</v>
      </c>
      <c r="C16" s="519" t="s">
        <v>714</v>
      </c>
      <c r="D16" s="68" t="s">
        <v>715</v>
      </c>
      <c r="E16" s="310">
        <f>E5</f>
        <v>19104823</v>
      </c>
      <c r="F16" s="206"/>
      <c r="G16" s="208"/>
      <c r="H16" s="312">
        <f>H14-SUM(H7:H13)</f>
        <v>13221216</v>
      </c>
      <c r="I16" s="126"/>
      <c r="J16" s="208"/>
      <c r="K16" s="312">
        <f>K14-SUM(K7:K13)</f>
        <v>11017680.000000004</v>
      </c>
      <c r="L16" s="126"/>
    </row>
    <row r="17" spans="2:12" s="1" customFormat="1" ht="18.75" customHeight="1" x14ac:dyDescent="0.25">
      <c r="B17" s="62">
        <f t="shared" si="1"/>
        <v>14</v>
      </c>
      <c r="C17" s="519" t="s">
        <v>716</v>
      </c>
      <c r="D17" s="68" t="s">
        <v>717</v>
      </c>
      <c r="E17" s="338">
        <f>'14-Rate base'!F32</f>
        <v>211690747.75</v>
      </c>
      <c r="F17" s="206"/>
      <c r="G17" s="208"/>
      <c r="H17" s="312"/>
      <c r="I17" s="126"/>
      <c r="J17" s="208"/>
      <c r="K17" s="312"/>
      <c r="L17" s="126"/>
    </row>
    <row r="18" spans="2:12" s="1" customFormat="1" ht="18.75" customHeight="1" x14ac:dyDescent="0.25">
      <c r="B18" s="62">
        <f t="shared" si="1"/>
        <v>15</v>
      </c>
      <c r="C18" s="519" t="s">
        <v>718</v>
      </c>
      <c r="D18" s="204" t="s">
        <v>719</v>
      </c>
      <c r="E18" s="691">
        <f>E5/E17</f>
        <v>9.024873879968616E-2</v>
      </c>
      <c r="F18" s="206"/>
      <c r="G18" s="208"/>
      <c r="H18" s="312"/>
      <c r="I18" s="126"/>
      <c r="J18" s="208"/>
      <c r="K18" s="312"/>
      <c r="L18" s="126"/>
    </row>
    <row r="19" spans="2:12" s="1" customFormat="1" ht="18.75" customHeight="1" x14ac:dyDescent="0.25">
      <c r="B19" s="62">
        <f t="shared" si="1"/>
        <v>16</v>
      </c>
      <c r="C19" s="519"/>
      <c r="D19" s="204"/>
      <c r="E19" s="310"/>
      <c r="F19" s="208"/>
      <c r="G19" s="208"/>
      <c r="H19" s="312"/>
      <c r="I19" s="208"/>
      <c r="J19" s="208"/>
      <c r="K19" s="312"/>
      <c r="L19" s="208"/>
    </row>
    <row r="20" spans="2:12" s="1" customFormat="1" ht="18.75" customHeight="1" x14ac:dyDescent="0.25">
      <c r="B20" s="62">
        <f t="shared" si="1"/>
        <v>17</v>
      </c>
      <c r="C20" s="519" t="s">
        <v>714</v>
      </c>
      <c r="D20" s="68" t="s">
        <v>720</v>
      </c>
      <c r="E20" s="310">
        <f>E16</f>
        <v>19104823</v>
      </c>
      <c r="F20" s="206"/>
      <c r="G20" s="208"/>
      <c r="H20" s="312">
        <f>H16</f>
        <v>13221216</v>
      </c>
      <c r="I20" s="206"/>
      <c r="J20" s="208"/>
      <c r="K20" s="312">
        <f>K16</f>
        <v>11017680.000000004</v>
      </c>
      <c r="L20" s="206"/>
    </row>
    <row r="21" spans="2:12" s="1" customFormat="1" ht="18.75" customHeight="1" x14ac:dyDescent="0.25">
      <c r="B21" s="62">
        <f t="shared" si="1"/>
        <v>18</v>
      </c>
      <c r="C21" s="519" t="s">
        <v>721</v>
      </c>
      <c r="D21" s="68" t="s">
        <v>722</v>
      </c>
      <c r="E21" s="310">
        <f>'15-Income'!F43</f>
        <v>5508840</v>
      </c>
      <c r="F21" s="206"/>
      <c r="G21" s="208"/>
      <c r="H21" s="312">
        <f>E21*1.6</f>
        <v>8814144</v>
      </c>
      <c r="I21" s="206"/>
      <c r="J21" s="208"/>
      <c r="K21" s="312">
        <f>E21</f>
        <v>5508840</v>
      </c>
      <c r="L21" s="206"/>
    </row>
    <row r="22" spans="2:12" s="1" customFormat="1" ht="18.75" customHeight="1" x14ac:dyDescent="0.25">
      <c r="B22" s="62">
        <f t="shared" si="1"/>
        <v>19</v>
      </c>
      <c r="C22" s="519" t="s">
        <v>723</v>
      </c>
      <c r="D22" s="68" t="s">
        <v>460</v>
      </c>
      <c r="E22" s="309"/>
      <c r="F22" s="206"/>
      <c r="G22" s="208"/>
      <c r="H22" s="312">
        <f>H21*0.2</f>
        <v>1762828.8</v>
      </c>
      <c r="I22" s="206"/>
      <c r="J22" s="208"/>
      <c r="K22" s="312">
        <f>K21*0.2</f>
        <v>1101768</v>
      </c>
      <c r="L22" s="206"/>
    </row>
    <row r="23" spans="2:12" s="1" customFormat="1" ht="18.75" customHeight="1" x14ac:dyDescent="0.25">
      <c r="B23" s="62">
        <f t="shared" si="1"/>
        <v>20</v>
      </c>
      <c r="C23" s="519" t="s">
        <v>724</v>
      </c>
      <c r="D23" s="68" t="s">
        <v>725</v>
      </c>
      <c r="E23" s="309"/>
      <c r="F23" s="206"/>
      <c r="G23" s="208"/>
      <c r="H23" s="312">
        <f>SUM(H21:H22)</f>
        <v>10576972.800000001</v>
      </c>
      <c r="I23" s="206"/>
      <c r="J23" s="208"/>
      <c r="K23" s="312">
        <f>SUM(K21:K22)</f>
        <v>6610608</v>
      </c>
      <c r="L23" s="206"/>
    </row>
    <row r="24" spans="2:12" s="1" customFormat="1" ht="18.75" customHeight="1" x14ac:dyDescent="0.25">
      <c r="B24" s="62">
        <f t="shared" si="1"/>
        <v>21</v>
      </c>
      <c r="C24" s="519"/>
      <c r="D24" s="68"/>
      <c r="E24" s="310"/>
      <c r="F24" s="67"/>
      <c r="G24" s="208"/>
      <c r="H24" s="312"/>
      <c r="I24" s="67"/>
      <c r="J24" s="208"/>
      <c r="K24" s="312"/>
      <c r="L24" s="67"/>
    </row>
    <row r="25" spans="2:12" s="1" customFormat="1" ht="18.75" customHeight="1" x14ac:dyDescent="0.25">
      <c r="B25" s="62">
        <f t="shared" si="1"/>
        <v>22</v>
      </c>
      <c r="C25" s="529" t="s">
        <v>726</v>
      </c>
      <c r="D25" s="209" t="s">
        <v>727</v>
      </c>
      <c r="E25" s="309"/>
      <c r="F25" s="206"/>
      <c r="G25" s="465"/>
      <c r="H25" s="303">
        <f>H23*1.25</f>
        <v>13221216</v>
      </c>
      <c r="I25" s="206"/>
      <c r="J25" s="465"/>
      <c r="K25" s="309"/>
      <c r="L25" s="206"/>
    </row>
    <row r="26" spans="2:12" s="1" customFormat="1" ht="18.75" customHeight="1" x14ac:dyDescent="0.25">
      <c r="B26" s="62">
        <f t="shared" si="1"/>
        <v>23</v>
      </c>
      <c r="C26" s="367" t="s">
        <v>728</v>
      </c>
      <c r="D26" s="465" t="s">
        <v>729</v>
      </c>
      <c r="E26" s="309"/>
      <c r="F26" s="206"/>
      <c r="G26" s="465"/>
      <c r="H26" s="309"/>
      <c r="I26" s="206"/>
      <c r="J26" s="465"/>
      <c r="K26" s="303">
        <f>K21*2</f>
        <v>11017680</v>
      </c>
      <c r="L26" s="206"/>
    </row>
    <row r="27" spans="2:12" s="1" customFormat="1" ht="18.75" customHeight="1" x14ac:dyDescent="0.25">
      <c r="B27" s="62">
        <f t="shared" si="1"/>
        <v>24</v>
      </c>
      <c r="C27" s="367"/>
      <c r="D27" s="465" t="s">
        <v>730</v>
      </c>
      <c r="E27" s="309"/>
      <c r="F27" s="206"/>
      <c r="G27" s="465"/>
      <c r="H27" s="310">
        <f>H25-H23</f>
        <v>2644243.1999999993</v>
      </c>
      <c r="I27" s="206"/>
      <c r="J27" s="630"/>
      <c r="K27" s="303">
        <f>K26-K23</f>
        <v>4407072</v>
      </c>
      <c r="L27" s="631"/>
    </row>
    <row r="28" spans="2:12" s="1" customFormat="1" ht="18.75" customHeight="1" x14ac:dyDescent="0.25">
      <c r="B28" s="62">
        <f t="shared" si="1"/>
        <v>25</v>
      </c>
      <c r="C28" s="519"/>
      <c r="D28" s="204"/>
      <c r="E28" s="310"/>
      <c r="F28" s="208"/>
      <c r="G28" s="208"/>
      <c r="H28" s="312"/>
      <c r="I28" s="208"/>
      <c r="J28" s="208"/>
      <c r="K28" s="312"/>
      <c r="L28" s="208"/>
    </row>
    <row r="29" spans="2:12" s="1" customFormat="1" ht="18.75" customHeight="1" x14ac:dyDescent="0.25">
      <c r="B29" s="62">
        <f t="shared" si="1"/>
        <v>26</v>
      </c>
      <c r="C29" s="519"/>
      <c r="D29" s="55" t="s">
        <v>731</v>
      </c>
      <c r="E29" s="57"/>
      <c r="F29" s="208"/>
      <c r="G29" s="57"/>
      <c r="H29" s="57"/>
      <c r="I29" s="208"/>
      <c r="J29" s="57"/>
      <c r="K29" s="57"/>
      <c r="L29" s="208"/>
    </row>
    <row r="30" spans="2:12" s="1" customFormat="1" ht="18.75" customHeight="1" x14ac:dyDescent="0.25">
      <c r="B30" s="62">
        <f t="shared" si="1"/>
        <v>27</v>
      </c>
      <c r="C30" s="530"/>
      <c r="D30" s="337" t="s">
        <v>732</v>
      </c>
      <c r="E30" s="670">
        <f>'15-Income'!F4</f>
        <v>47277356</v>
      </c>
      <c r="F30" s="206"/>
      <c r="G30" s="301"/>
      <c r="H30" s="670">
        <f>H14</f>
        <v>38515399.399999999</v>
      </c>
      <c r="I30" s="206"/>
      <c r="J30" s="301"/>
      <c r="K30" s="670">
        <f>K14</f>
        <v>35864290.200000003</v>
      </c>
      <c r="L30" s="206"/>
    </row>
    <row r="31" spans="2:12" s="1" customFormat="1" ht="18.75" customHeight="1" x14ac:dyDescent="0.25">
      <c r="B31" s="62">
        <f t="shared" si="1"/>
        <v>28</v>
      </c>
      <c r="C31" s="519"/>
      <c r="D31" s="68" t="s">
        <v>733</v>
      </c>
      <c r="E31" s="310">
        <f>-'15-Income'!F26</f>
        <v>-28172533</v>
      </c>
      <c r="F31" s="206"/>
      <c r="G31" s="312"/>
      <c r="H31" s="310">
        <f>-SUM(H7:H13)</f>
        <v>-25294183.399999999</v>
      </c>
      <c r="I31" s="206"/>
      <c r="J31" s="312"/>
      <c r="K31" s="310">
        <f>-SUM(K7:K13)</f>
        <v>-24846610.199999999</v>
      </c>
      <c r="L31" s="206"/>
    </row>
    <row r="32" spans="2:12" s="1" customFormat="1" ht="18.75" customHeight="1" x14ac:dyDescent="0.25">
      <c r="B32" s="62">
        <f t="shared" si="1"/>
        <v>29</v>
      </c>
      <c r="C32" s="44"/>
      <c r="D32" s="68" t="s">
        <v>734</v>
      </c>
      <c r="E32" s="338">
        <f>E30+E31</f>
        <v>19104823</v>
      </c>
      <c r="F32" s="206"/>
      <c r="G32" s="312"/>
      <c r="H32" s="338">
        <f>H30+H31</f>
        <v>13221216</v>
      </c>
      <c r="I32" s="206"/>
      <c r="J32" s="312"/>
      <c r="K32" s="338">
        <f>K30+K31</f>
        <v>11017680.000000004</v>
      </c>
      <c r="L32" s="206"/>
    </row>
    <row r="33" spans="2:12" s="1" customFormat="1" ht="18.75" customHeight="1" x14ac:dyDescent="0.25">
      <c r="B33" s="62">
        <f t="shared" si="1"/>
        <v>30</v>
      </c>
      <c r="C33" s="44"/>
      <c r="D33" s="68" t="s">
        <v>735</v>
      </c>
      <c r="E33" s="338">
        <f>-E21</f>
        <v>-5508840</v>
      </c>
      <c r="F33" s="206"/>
      <c r="G33" s="312"/>
      <c r="H33" s="338">
        <f>-H23</f>
        <v>-10576972.800000001</v>
      </c>
      <c r="I33" s="206"/>
      <c r="J33" s="312"/>
      <c r="K33" s="338">
        <f>-K23</f>
        <v>-6610608</v>
      </c>
      <c r="L33" s="206"/>
    </row>
    <row r="34" spans="2:12" s="1" customFormat="1" ht="18.75" customHeight="1" x14ac:dyDescent="0.25">
      <c r="B34" s="62">
        <f t="shared" si="1"/>
        <v>31</v>
      </c>
      <c r="C34" s="44"/>
      <c r="D34" s="68" t="s">
        <v>736</v>
      </c>
      <c r="E34" s="338">
        <f>SUM(E32:E33)</f>
        <v>13595983</v>
      </c>
      <c r="F34" s="206"/>
      <c r="G34" s="312"/>
      <c r="H34" s="309"/>
      <c r="I34" s="206"/>
      <c r="J34" s="312"/>
      <c r="K34" s="309"/>
      <c r="L34" s="206"/>
    </row>
    <row r="35" spans="2:12" s="1" customFormat="1" ht="18.75" customHeight="1" x14ac:dyDescent="0.25">
      <c r="B35" s="62">
        <f t="shared" si="1"/>
        <v>32</v>
      </c>
      <c r="C35" s="44"/>
      <c r="D35" s="68" t="s">
        <v>737</v>
      </c>
      <c r="E35" s="309"/>
      <c r="F35" s="206"/>
      <c r="G35" s="312"/>
      <c r="H35" s="338">
        <f>H32+H33</f>
        <v>2644243.1999999993</v>
      </c>
      <c r="I35" s="206"/>
      <c r="J35" s="312"/>
      <c r="K35" s="338">
        <f>K32+K33</f>
        <v>4407072.0000000037</v>
      </c>
      <c r="L35" s="206"/>
    </row>
    <row r="36" spans="2:12" s="1" customFormat="1" ht="18.75" customHeight="1" x14ac:dyDescent="0.25">
      <c r="B36" s="62">
        <f t="shared" si="1"/>
        <v>33</v>
      </c>
      <c r="C36" s="529"/>
      <c r="D36" s="682" t="s">
        <v>738</v>
      </c>
      <c r="E36" s="683"/>
      <c r="F36" s="684"/>
      <c r="G36" s="465"/>
      <c r="H36" s="303">
        <f>H35-H27</f>
        <v>0</v>
      </c>
      <c r="I36" s="684"/>
      <c r="J36" s="465"/>
      <c r="K36" s="303">
        <f>K35-K27</f>
        <v>0</v>
      </c>
      <c r="L36" s="684"/>
    </row>
    <row r="37" spans="2:12" s="1" customFormat="1" ht="18.75" customHeight="1" x14ac:dyDescent="0.25">
      <c r="B37" s="62">
        <f t="shared" si="1"/>
        <v>34</v>
      </c>
      <c r="C37" s="519"/>
      <c r="D37" s="204"/>
      <c r="E37" s="310"/>
      <c r="F37" s="67"/>
      <c r="G37" s="208"/>
      <c r="H37" s="312"/>
      <c r="I37" s="67"/>
      <c r="J37" s="208"/>
      <c r="K37" s="312"/>
      <c r="L37" s="67"/>
    </row>
    <row r="38" spans="2:12" s="1" customFormat="1" ht="18.75" customHeight="1" x14ac:dyDescent="0.25">
      <c r="B38" s="62">
        <f t="shared" si="1"/>
        <v>35</v>
      </c>
      <c r="C38" s="530"/>
      <c r="D38" s="337" t="s">
        <v>739</v>
      </c>
      <c r="E38" s="670"/>
      <c r="F38" s="627"/>
      <c r="G38" s="627"/>
      <c r="H38" s="301"/>
      <c r="I38" s="627"/>
      <c r="J38" s="627"/>
      <c r="K38" s="301"/>
      <c r="L38" s="627"/>
    </row>
    <row r="39" spans="2:12" s="1" customFormat="1" ht="18.75" customHeight="1" x14ac:dyDescent="0.25">
      <c r="B39" s="62">
        <f t="shared" si="1"/>
        <v>36</v>
      </c>
      <c r="C39" s="519" t="s">
        <v>740</v>
      </c>
      <c r="D39" s="204" t="s">
        <v>741</v>
      </c>
      <c r="E39" s="669">
        <f>E20-E21</f>
        <v>13595983</v>
      </c>
      <c r="F39" s="206"/>
      <c r="G39" s="208"/>
      <c r="H39" s="311"/>
      <c r="I39" s="206"/>
      <c r="J39" s="208"/>
      <c r="K39" s="311"/>
      <c r="L39" s="206"/>
    </row>
    <row r="40" spans="2:12" s="1" customFormat="1" ht="18.75" customHeight="1" x14ac:dyDescent="0.25">
      <c r="B40" s="62">
        <f t="shared" si="1"/>
        <v>37</v>
      </c>
      <c r="C40" s="519" t="s">
        <v>742</v>
      </c>
      <c r="D40" s="204" t="s">
        <v>743</v>
      </c>
      <c r="E40" s="310">
        <f>'21-Capital'!E8</f>
        <v>127014672</v>
      </c>
      <c r="F40" s="206"/>
      <c r="G40" s="208"/>
      <c r="H40" s="311"/>
      <c r="I40" s="206"/>
      <c r="J40" s="208"/>
      <c r="K40" s="311"/>
      <c r="L40" s="206"/>
    </row>
    <row r="41" spans="2:12" s="1" customFormat="1" ht="18.75" customHeight="1" x14ac:dyDescent="0.25">
      <c r="B41" s="62">
        <f t="shared" si="1"/>
        <v>38</v>
      </c>
      <c r="C41" s="519" t="s">
        <v>744</v>
      </c>
      <c r="D41" s="204" t="s">
        <v>745</v>
      </c>
      <c r="E41" s="629">
        <f>E39/E40</f>
        <v>0.10704261787961</v>
      </c>
      <c r="F41" s="206"/>
      <c r="G41" s="208"/>
      <c r="H41" s="311"/>
      <c r="I41" s="206"/>
      <c r="J41" s="208"/>
      <c r="K41" s="311"/>
      <c r="L41" s="206"/>
    </row>
    <row r="42" spans="2:12" s="1" customFormat="1" ht="18.75" customHeight="1" x14ac:dyDescent="0.25">
      <c r="B42" s="34"/>
      <c r="C42" s="622"/>
      <c r="D42" s="187"/>
      <c r="E42" s="623"/>
      <c r="F42" s="624"/>
      <c r="G42" s="138"/>
      <c r="H42" s="625"/>
      <c r="I42" s="624"/>
      <c r="J42" s="138"/>
      <c r="K42" s="625"/>
      <c r="L42" s="624"/>
    </row>
    <row r="43" spans="2:12" x14ac:dyDescent="0.25">
      <c r="B43" s="1" t="s">
        <v>746</v>
      </c>
      <c r="E43" s="626"/>
      <c r="F43" s="626"/>
      <c r="G43" s="202"/>
      <c r="H43" s="202"/>
      <c r="I43" s="202"/>
      <c r="J43" s="202"/>
      <c r="K43" s="202"/>
    </row>
    <row r="44" spans="2:12" x14ac:dyDescent="0.25">
      <c r="B44" s="1" t="s">
        <v>747</v>
      </c>
    </row>
    <row r="45" spans="2:12" x14ac:dyDescent="0.25">
      <c r="B45" s="1" t="s">
        <v>748</v>
      </c>
    </row>
  </sheetData>
  <mergeCells count="4">
    <mergeCell ref="E3:F3"/>
    <mergeCell ref="H3:I3"/>
    <mergeCell ref="C9:C13"/>
    <mergeCell ref="K3:L3"/>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F2F2"/>
  </sheetPr>
  <dimension ref="B1:I29"/>
  <sheetViews>
    <sheetView showGridLines="0" workbookViewId="0">
      <selection activeCell="I10" sqref="I10"/>
    </sheetView>
  </sheetViews>
  <sheetFormatPr defaultColWidth="10.85546875" defaultRowHeight="12.75" x14ac:dyDescent="0.25"/>
  <cols>
    <col min="1" max="1" width="2.7109375" style="1" customWidth="1"/>
    <col min="2" max="2" width="6.7109375" style="1" customWidth="1"/>
    <col min="3" max="3" width="32.28515625" style="14" customWidth="1"/>
    <col min="4" max="6" width="12.7109375" style="1" customWidth="1"/>
    <col min="7" max="7" width="2.28515625" style="1" customWidth="1"/>
    <col min="8" max="8" width="2.42578125" style="1" customWidth="1"/>
    <col min="9" max="9" width="43.7109375" style="1" customWidth="1"/>
    <col min="10" max="16384" width="10.85546875" style="1"/>
  </cols>
  <sheetData>
    <row r="1" spans="2:9" ht="9.75" customHeight="1" x14ac:dyDescent="0.25"/>
    <row r="2" spans="2:9" s="8" customFormat="1" ht="37.5" customHeight="1" x14ac:dyDescent="0.25">
      <c r="B2" s="19" t="s">
        <v>749</v>
      </c>
      <c r="C2" s="16"/>
      <c r="H2" s="110"/>
    </row>
    <row r="3" spans="2:9" ht="39.75" customHeight="1" x14ac:dyDescent="0.25">
      <c r="B3" s="712" t="s">
        <v>13</v>
      </c>
      <c r="C3" s="313" t="s">
        <v>55</v>
      </c>
      <c r="D3" s="314" t="s">
        <v>656</v>
      </c>
      <c r="E3" s="314" t="s">
        <v>750</v>
      </c>
      <c r="F3" s="315" t="s">
        <v>751</v>
      </c>
      <c r="G3" s="2"/>
      <c r="I3" s="7"/>
    </row>
    <row r="4" spans="2:9" ht="18.75" customHeight="1" x14ac:dyDescent="0.25">
      <c r="B4" s="134">
        <v>1</v>
      </c>
      <c r="C4" s="88" t="s">
        <v>752</v>
      </c>
      <c r="D4" s="218"/>
      <c r="E4" s="128">
        <v>100</v>
      </c>
      <c r="F4" s="316">
        <f>D25*E4</f>
        <v>145.95884834916015</v>
      </c>
      <c r="I4" s="7"/>
    </row>
    <row r="5" spans="2:9" ht="18.75" customHeight="1" x14ac:dyDescent="0.25">
      <c r="B5" s="134">
        <f>B4+1</f>
        <v>2</v>
      </c>
      <c r="C5" s="88"/>
      <c r="D5" s="68"/>
      <c r="E5" s="317"/>
      <c r="F5" s="86"/>
      <c r="I5" s="7"/>
    </row>
    <row r="6" spans="2:9" ht="18.75" customHeight="1" x14ac:dyDescent="0.25">
      <c r="B6" s="134">
        <f t="shared" ref="B6:B26" si="0">B5+1</f>
        <v>3</v>
      </c>
      <c r="C6" s="88" t="s">
        <v>753</v>
      </c>
      <c r="D6" s="68"/>
      <c r="E6" s="135"/>
      <c r="F6" s="86"/>
      <c r="I6" s="7"/>
    </row>
    <row r="7" spans="2:9" ht="18.75" customHeight="1" x14ac:dyDescent="0.25">
      <c r="B7" s="62">
        <f t="shared" si="0"/>
        <v>4</v>
      </c>
      <c r="C7" s="136" t="s">
        <v>754</v>
      </c>
      <c r="D7" s="137">
        <v>5.0000000000000001E-3</v>
      </c>
      <c r="E7" s="108">
        <f>E4*D7</f>
        <v>0.5</v>
      </c>
      <c r="F7" s="108">
        <f>F4*D7</f>
        <v>0.72979424174580076</v>
      </c>
      <c r="I7" s="7"/>
    </row>
    <row r="8" spans="2:9" ht="18.75" customHeight="1" x14ac:dyDescent="0.25">
      <c r="B8" s="62">
        <f t="shared" si="0"/>
        <v>5</v>
      </c>
      <c r="C8" s="88" t="s">
        <v>755</v>
      </c>
      <c r="D8" s="76">
        <v>1.5E-3</v>
      </c>
      <c r="E8" s="86">
        <f>E4*D8</f>
        <v>0.15</v>
      </c>
      <c r="F8" s="86">
        <f>F4*D8</f>
        <v>0.21893827252374023</v>
      </c>
    </row>
    <row r="9" spans="2:9" ht="18.75" customHeight="1" x14ac:dyDescent="0.25">
      <c r="B9" s="62">
        <f t="shared" si="0"/>
        <v>6</v>
      </c>
      <c r="C9" s="120" t="s">
        <v>756</v>
      </c>
      <c r="D9" s="76">
        <v>0.03</v>
      </c>
      <c r="E9" s="86">
        <f>E4*D9</f>
        <v>3</v>
      </c>
      <c r="F9" s="86">
        <f>F4*D9</f>
        <v>4.3787654504748046</v>
      </c>
    </row>
    <row r="10" spans="2:9" ht="18.75" customHeight="1" x14ac:dyDescent="0.25">
      <c r="B10" s="62">
        <f t="shared" si="0"/>
        <v>7</v>
      </c>
      <c r="C10" s="88" t="s">
        <v>757</v>
      </c>
      <c r="D10" s="68"/>
      <c r="E10" s="86">
        <f>E4-(E7+E8+E9)</f>
        <v>96.35</v>
      </c>
      <c r="F10" s="86">
        <f>F4-F7-F8-F9</f>
        <v>140.63135038441581</v>
      </c>
    </row>
    <row r="11" spans="2:9" ht="18.75" customHeight="1" x14ac:dyDescent="0.25">
      <c r="B11" s="62">
        <f t="shared" si="0"/>
        <v>8</v>
      </c>
      <c r="C11" s="88"/>
      <c r="D11" s="68"/>
      <c r="E11" s="86"/>
      <c r="F11" s="86"/>
    </row>
    <row r="12" spans="2:9" ht="18.75" customHeight="1" x14ac:dyDescent="0.25">
      <c r="B12" s="62">
        <f t="shared" si="0"/>
        <v>9</v>
      </c>
      <c r="C12" s="88" t="s">
        <v>758</v>
      </c>
      <c r="D12" s="68"/>
      <c r="E12" s="86"/>
      <c r="F12" s="86"/>
    </row>
    <row r="13" spans="2:9" ht="18.75" customHeight="1" x14ac:dyDescent="0.25">
      <c r="B13" s="62">
        <f t="shared" si="0"/>
        <v>10</v>
      </c>
      <c r="C13" s="88" t="s">
        <v>759</v>
      </c>
      <c r="D13" s="76">
        <v>9.9900000000000003E-2</v>
      </c>
      <c r="E13" s="86">
        <f>E10*D13</f>
        <v>9.6253650000000004</v>
      </c>
      <c r="F13" s="86">
        <f>F10*D13</f>
        <v>14.04907190340314</v>
      </c>
    </row>
    <row r="14" spans="2:9" ht="18.75" customHeight="1" x14ac:dyDescent="0.25">
      <c r="B14" s="62">
        <f t="shared" si="0"/>
        <v>11</v>
      </c>
      <c r="C14" s="88" t="s">
        <v>760</v>
      </c>
      <c r="D14" s="68"/>
      <c r="E14" s="86">
        <f>E10-E13</f>
        <v>86.724634999999992</v>
      </c>
      <c r="F14" s="86">
        <f>F10-F13</f>
        <v>126.58227848101266</v>
      </c>
    </row>
    <row r="15" spans="2:9" ht="18.75" customHeight="1" x14ac:dyDescent="0.25">
      <c r="B15" s="62">
        <f t="shared" si="0"/>
        <v>12</v>
      </c>
      <c r="C15" s="88"/>
      <c r="D15" s="68"/>
      <c r="E15" s="86"/>
      <c r="F15" s="86"/>
    </row>
    <row r="16" spans="2:9" ht="18.75" customHeight="1" x14ac:dyDescent="0.25">
      <c r="B16" s="62">
        <f t="shared" si="0"/>
        <v>13</v>
      </c>
      <c r="C16" s="89" t="s">
        <v>761</v>
      </c>
      <c r="D16" s="76">
        <v>0.21</v>
      </c>
      <c r="E16" s="86">
        <f>E14*D16</f>
        <v>18.212173349999997</v>
      </c>
      <c r="F16" s="124">
        <f>F14*D16</f>
        <v>26.582278481012658</v>
      </c>
    </row>
    <row r="17" spans="2:6" ht="18.75" customHeight="1" x14ac:dyDescent="0.25">
      <c r="B17" s="62">
        <f t="shared" si="0"/>
        <v>14</v>
      </c>
      <c r="C17" s="89" t="s">
        <v>762</v>
      </c>
      <c r="D17" s="68"/>
      <c r="E17" s="123">
        <f>E14-E16</f>
        <v>68.512461649999992</v>
      </c>
      <c r="F17" s="128">
        <f>F14-F16</f>
        <v>100</v>
      </c>
    </row>
    <row r="18" spans="2:6" ht="18.75" customHeight="1" x14ac:dyDescent="0.25">
      <c r="B18" s="62">
        <f t="shared" si="0"/>
        <v>15</v>
      </c>
      <c r="C18" s="55"/>
      <c r="D18" s="68"/>
      <c r="E18" s="86"/>
      <c r="F18" s="108"/>
    </row>
    <row r="19" spans="2:6" ht="18.75" customHeight="1" x14ac:dyDescent="0.25">
      <c r="B19" s="62">
        <f t="shared" si="0"/>
        <v>16</v>
      </c>
      <c r="C19" s="55" t="s">
        <v>763</v>
      </c>
      <c r="D19" s="76">
        <f>E19/E4</f>
        <v>0.31487538350000011</v>
      </c>
      <c r="E19" s="91">
        <f>E4-E17</f>
        <v>31.487538350000008</v>
      </c>
      <c r="F19" s="125" t="s">
        <v>12</v>
      </c>
    </row>
    <row r="20" spans="2:6" ht="18.75" customHeight="1" x14ac:dyDescent="0.25">
      <c r="B20" s="62">
        <f t="shared" si="0"/>
        <v>17</v>
      </c>
      <c r="C20" s="89"/>
      <c r="D20" s="68"/>
      <c r="E20" s="86"/>
      <c r="F20" s="129"/>
    </row>
    <row r="21" spans="2:6" ht="18.75" customHeight="1" x14ac:dyDescent="0.25">
      <c r="B21" s="62">
        <f t="shared" si="0"/>
        <v>18</v>
      </c>
      <c r="C21" s="89" t="s">
        <v>764</v>
      </c>
      <c r="D21" s="68"/>
      <c r="E21" s="86">
        <f>E7+E8+E9</f>
        <v>3.65</v>
      </c>
      <c r="F21" s="129">
        <f>SUM(F7:F9)</f>
        <v>5.3274979647443459</v>
      </c>
    </row>
    <row r="22" spans="2:6" ht="18.75" customHeight="1" x14ac:dyDescent="0.25">
      <c r="B22" s="62">
        <f t="shared" si="0"/>
        <v>19</v>
      </c>
      <c r="C22" s="89" t="s">
        <v>765</v>
      </c>
      <c r="D22" s="76">
        <f>D13+(D16*(1-D13))</f>
        <v>0.28892099999999998</v>
      </c>
      <c r="E22" s="86">
        <f>E10*D22</f>
        <v>27.837538349999996</v>
      </c>
      <c r="F22" s="129">
        <f>F13+F16</f>
        <v>40.631350384415796</v>
      </c>
    </row>
    <row r="23" spans="2:6" ht="18.75" customHeight="1" x14ac:dyDescent="0.25">
      <c r="B23" s="62">
        <f t="shared" si="0"/>
        <v>20</v>
      </c>
      <c r="C23" s="55" t="s">
        <v>766</v>
      </c>
      <c r="D23" s="121"/>
      <c r="E23" s="86">
        <f>SUM(E21:E22)</f>
        <v>31.487538349999994</v>
      </c>
      <c r="F23" s="129">
        <f>SUM(F21:F22)</f>
        <v>45.958848349160142</v>
      </c>
    </row>
    <row r="24" spans="2:6" ht="18.75" customHeight="1" x14ac:dyDescent="0.25">
      <c r="B24" s="62">
        <f t="shared" si="0"/>
        <v>21</v>
      </c>
      <c r="C24" s="89"/>
      <c r="D24" s="68"/>
      <c r="E24" s="122"/>
      <c r="F24" s="122"/>
    </row>
    <row r="25" spans="2:6" ht="18.75" customHeight="1" x14ac:dyDescent="0.25">
      <c r="B25" s="62">
        <f t="shared" si="0"/>
        <v>22</v>
      </c>
      <c r="C25" s="89" t="s">
        <v>767</v>
      </c>
      <c r="D25" s="90">
        <f>1/(1-D19)</f>
        <v>1.4595884834916015</v>
      </c>
      <c r="E25" s="127" t="s">
        <v>12</v>
      </c>
      <c r="F25" s="126" t="s">
        <v>12</v>
      </c>
    </row>
    <row r="26" spans="2:6" ht="18.75" customHeight="1" x14ac:dyDescent="0.25">
      <c r="B26" s="62">
        <f t="shared" si="0"/>
        <v>23</v>
      </c>
      <c r="C26" s="89" t="s">
        <v>768</v>
      </c>
      <c r="D26" s="90">
        <f>E4/E17</f>
        <v>1.4595884834916015</v>
      </c>
      <c r="E26" s="127" t="s">
        <v>12</v>
      </c>
      <c r="F26" s="126"/>
    </row>
    <row r="27" spans="2:6" ht="18.75" customHeight="1" x14ac:dyDescent="0.25">
      <c r="B27" s="94"/>
      <c r="C27" s="94"/>
      <c r="E27" s="87"/>
    </row>
    <row r="28" spans="2:6" ht="18.75" customHeight="1" x14ac:dyDescent="0.25">
      <c r="B28" s="1" t="s">
        <v>769</v>
      </c>
    </row>
    <row r="29" spans="2:6" ht="18.75" customHeight="1" x14ac:dyDescent="0.25"/>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8C0B-B062-47B5-9EC4-EF60E8C87151}">
  <sheetPr>
    <tabColor rgb="FFF2F2F2"/>
  </sheetPr>
  <dimension ref="A1:K56"/>
  <sheetViews>
    <sheetView showGridLines="0" topLeftCell="A30" workbookViewId="0">
      <selection activeCell="A5" sqref="A5:XFD5"/>
    </sheetView>
  </sheetViews>
  <sheetFormatPr defaultColWidth="9.140625" defaultRowHeight="12.75" x14ac:dyDescent="0.25"/>
  <cols>
    <col min="1" max="1" width="2.7109375" style="1" customWidth="1"/>
    <col min="2" max="2" width="7.42578125" style="1" customWidth="1"/>
    <col min="3" max="3" width="33.7109375" style="1" customWidth="1"/>
    <col min="4" max="4" width="14.7109375" style="1" customWidth="1"/>
    <col min="5" max="5" width="2.28515625" style="1" customWidth="1"/>
    <col min="6" max="6" width="14.7109375" style="1" customWidth="1"/>
    <col min="7" max="7" width="2.28515625" style="1" customWidth="1"/>
    <col min="8" max="8" width="14.7109375" style="1" customWidth="1"/>
    <col min="9" max="9" width="2.28515625" style="1" customWidth="1"/>
    <col min="10" max="10" width="14.7109375" style="1" customWidth="1"/>
    <col min="11" max="11" width="21.7109375" style="1" customWidth="1"/>
    <col min="12" max="16384" width="9.140625" style="1"/>
  </cols>
  <sheetData>
    <row r="1" spans="1:11" s="9" customFormat="1" ht="9.75" customHeight="1" x14ac:dyDescent="0.25">
      <c r="B1" s="80"/>
    </row>
    <row r="2" spans="1:11" s="138" customFormat="1" ht="37.5" customHeight="1" x14ac:dyDescent="0.25">
      <c r="A2" s="112"/>
      <c r="B2" s="50" t="s">
        <v>770</v>
      </c>
    </row>
    <row r="3" spans="1:11" ht="27.75" customHeight="1" x14ac:dyDescent="0.25">
      <c r="B3" s="712" t="s">
        <v>13</v>
      </c>
      <c r="C3" s="258" t="s">
        <v>771</v>
      </c>
      <c r="D3" s="321" t="s">
        <v>772</v>
      </c>
      <c r="E3" s="258"/>
      <c r="F3" s="258" t="s">
        <v>773</v>
      </c>
      <c r="G3" s="258"/>
      <c r="H3" s="258" t="s">
        <v>774</v>
      </c>
      <c r="I3" s="258"/>
      <c r="J3" s="258" t="s">
        <v>775</v>
      </c>
      <c r="K3" s="212"/>
    </row>
    <row r="4" spans="1:11" ht="18.75" customHeight="1" x14ac:dyDescent="0.25">
      <c r="B4" s="62">
        <v>1</v>
      </c>
      <c r="C4" s="318" t="s">
        <v>776</v>
      </c>
      <c r="D4" s="83"/>
      <c r="E4" s="83"/>
      <c r="F4" s="150"/>
      <c r="G4" s="83"/>
      <c r="H4" s="150"/>
      <c r="I4" s="83"/>
      <c r="J4" s="150"/>
      <c r="K4" s="213"/>
    </row>
    <row r="5" spans="1:11" ht="18.75" customHeight="1" thickBot="1" x14ac:dyDescent="0.3">
      <c r="B5" s="62">
        <f t="shared" ref="B5:B38" si="0">B4+1</f>
        <v>2</v>
      </c>
      <c r="C5" s="318"/>
      <c r="D5" s="83"/>
      <c r="E5" s="83"/>
      <c r="F5" s="150"/>
      <c r="G5" s="83"/>
      <c r="H5" s="150"/>
      <c r="I5" s="83"/>
      <c r="J5" s="150"/>
      <c r="K5" s="213"/>
    </row>
    <row r="6" spans="1:11" ht="18.75" customHeight="1" thickBot="1" x14ac:dyDescent="0.3">
      <c r="B6" s="62">
        <f t="shared" si="0"/>
        <v>3</v>
      </c>
      <c r="C6" s="318" t="str">
        <f>C19</f>
        <v>Total Income Deciency (Excess)</v>
      </c>
      <c r="D6" s="347">
        <f>D23</f>
        <v>0</v>
      </c>
      <c r="E6" s="83"/>
      <c r="F6" s="335">
        <f>F19</f>
        <v>2302961</v>
      </c>
      <c r="G6" s="83"/>
      <c r="H6" s="335">
        <f>H19</f>
        <v>2302961</v>
      </c>
      <c r="I6" s="83"/>
      <c r="J6" s="207">
        <f>J19</f>
        <v>2302961</v>
      </c>
      <c r="K6" s="213"/>
    </row>
    <row r="7" spans="1:11" ht="18.75" customHeight="1" x14ac:dyDescent="0.25">
      <c r="B7" s="62">
        <f t="shared" si="0"/>
        <v>4</v>
      </c>
      <c r="C7" s="208"/>
      <c r="D7" s="83"/>
      <c r="E7" s="83"/>
      <c r="F7" s="83"/>
      <c r="G7" s="83"/>
      <c r="H7" s="83"/>
      <c r="I7" s="83"/>
      <c r="J7" s="83"/>
      <c r="K7" s="213"/>
    </row>
    <row r="8" spans="1:11" ht="18.75" customHeight="1" thickBot="1" x14ac:dyDescent="0.3">
      <c r="B8" s="62">
        <f t="shared" si="0"/>
        <v>5</v>
      </c>
      <c r="C8" s="208" t="s">
        <v>777</v>
      </c>
      <c r="D8" s="83">
        <f>'15-Income'!F4</f>
        <v>47277356</v>
      </c>
      <c r="E8" s="83"/>
      <c r="F8" s="207">
        <f>D8</f>
        <v>47277356</v>
      </c>
      <c r="G8" s="83"/>
      <c r="H8" s="83">
        <f>D8</f>
        <v>47277356</v>
      </c>
      <c r="I8" s="83"/>
      <c r="J8" s="207">
        <f>D8</f>
        <v>47277356</v>
      </c>
      <c r="K8" s="213"/>
    </row>
    <row r="9" spans="1:11" ht="18.75" customHeight="1" thickBot="1" x14ac:dyDescent="0.3">
      <c r="B9" s="62">
        <f t="shared" si="0"/>
        <v>6</v>
      </c>
      <c r="C9" s="208" t="s">
        <v>778</v>
      </c>
      <c r="D9" s="113">
        <f>'15-Income'!F26</f>
        <v>28172533</v>
      </c>
      <c r="E9" s="83"/>
      <c r="F9" s="347">
        <f>D9+2302961</f>
        <v>30475494</v>
      </c>
      <c r="G9" s="83"/>
      <c r="H9" s="207">
        <f>D9</f>
        <v>28172533</v>
      </c>
      <c r="I9" s="342"/>
      <c r="J9" s="352">
        <f>D9+(2302961/2)</f>
        <v>29324013.5</v>
      </c>
      <c r="K9" s="213" t="s">
        <v>12</v>
      </c>
    </row>
    <row r="10" spans="1:11" ht="18.75" customHeight="1" x14ac:dyDescent="0.25">
      <c r="B10" s="62">
        <f t="shared" si="0"/>
        <v>7</v>
      </c>
      <c r="C10" s="208" t="s">
        <v>779</v>
      </c>
      <c r="D10" s="83">
        <f>D8-D9</f>
        <v>19104823</v>
      </c>
      <c r="E10" s="83"/>
      <c r="F10" s="207">
        <f>F8-F9</f>
        <v>16801862</v>
      </c>
      <c r="G10" s="207"/>
      <c r="H10" s="207">
        <f>D10</f>
        <v>19104823</v>
      </c>
      <c r="I10" s="207"/>
      <c r="J10" s="207">
        <f>J8-J9</f>
        <v>17953342.5</v>
      </c>
      <c r="K10" s="131"/>
    </row>
    <row r="11" spans="1:11" ht="18.75" customHeight="1" thickBot="1" x14ac:dyDescent="0.3">
      <c r="B11" s="62">
        <f t="shared" si="0"/>
        <v>8</v>
      </c>
      <c r="C11" s="208"/>
      <c r="D11" s="83"/>
      <c r="E11" s="83"/>
      <c r="F11" s="207"/>
      <c r="G11" s="207"/>
      <c r="H11" s="207"/>
      <c r="I11" s="207"/>
      <c r="J11" s="207"/>
      <c r="K11" s="212"/>
    </row>
    <row r="12" spans="1:11" ht="18.75" customHeight="1" thickBot="1" x14ac:dyDescent="0.3">
      <c r="B12" s="62">
        <f t="shared" si="0"/>
        <v>9</v>
      </c>
      <c r="C12" s="254" t="s">
        <v>780</v>
      </c>
      <c r="D12" s="83">
        <f>'14-Rate base'!F32</f>
        <v>211690747.75</v>
      </c>
      <c r="E12" s="83"/>
      <c r="F12" s="207">
        <f>'14-Rate base'!F32</f>
        <v>211690747.75</v>
      </c>
      <c r="G12" s="207"/>
      <c r="H12" s="350">
        <v>248936424</v>
      </c>
      <c r="I12" s="343"/>
      <c r="J12" s="350">
        <v>230313586</v>
      </c>
    </row>
    <row r="13" spans="1:11" ht="18.75" customHeight="1" x14ac:dyDescent="0.25">
      <c r="B13" s="62">
        <f t="shared" si="0"/>
        <v>10</v>
      </c>
      <c r="C13" s="254" t="s">
        <v>781</v>
      </c>
      <c r="D13" s="650">
        <f>'15-Income'!F28</f>
        <v>19104823</v>
      </c>
      <c r="E13" s="150"/>
      <c r="F13" s="655">
        <f>F10</f>
        <v>16801862</v>
      </c>
      <c r="G13" s="344"/>
      <c r="H13" s="655">
        <f>'15-Income'!F28</f>
        <v>19104823</v>
      </c>
      <c r="I13" s="344"/>
      <c r="J13" s="344">
        <f>J10</f>
        <v>17953342.5</v>
      </c>
    </row>
    <row r="14" spans="1:11" ht="18.75" customHeight="1" x14ac:dyDescent="0.25">
      <c r="B14" s="62">
        <f t="shared" si="0"/>
        <v>11</v>
      </c>
      <c r="C14" s="649" t="s">
        <v>782</v>
      </c>
      <c r="D14" s="648">
        <f>'23-Rev require'!E18</f>
        <v>9.024873879968616E-2</v>
      </c>
      <c r="E14" s="653"/>
      <c r="F14" s="652">
        <f>F13/F12</f>
        <v>7.9369845770692171E-2</v>
      </c>
      <c r="G14" s="656"/>
      <c r="H14" s="652">
        <f>H13/H12</f>
        <v>7.6745791929589219E-2</v>
      </c>
      <c r="I14" s="654"/>
      <c r="J14" s="345">
        <f>J13/J12</f>
        <v>7.7951730125030483E-2</v>
      </c>
    </row>
    <row r="15" spans="1:11" ht="18.75" customHeight="1" x14ac:dyDescent="0.25">
      <c r="B15" s="62">
        <f t="shared" si="0"/>
        <v>12</v>
      </c>
      <c r="C15" s="254"/>
      <c r="D15" s="651"/>
      <c r="E15" s="214"/>
      <c r="F15" s="651"/>
      <c r="G15" s="214"/>
      <c r="H15" s="651"/>
      <c r="I15" s="214"/>
      <c r="J15" s="214"/>
    </row>
    <row r="16" spans="1:11" ht="18.75" customHeight="1" x14ac:dyDescent="0.25">
      <c r="B16" s="62">
        <f t="shared" si="0"/>
        <v>13</v>
      </c>
      <c r="C16" s="318" t="s">
        <v>783</v>
      </c>
      <c r="D16" s="208"/>
      <c r="E16" s="319"/>
      <c r="F16" s="208"/>
      <c r="G16" s="207"/>
      <c r="H16" s="208"/>
      <c r="I16" s="208"/>
      <c r="J16" s="208"/>
    </row>
    <row r="17" spans="2:11" ht="18.75" customHeight="1" x14ac:dyDescent="0.25">
      <c r="B17" s="62">
        <f t="shared" si="0"/>
        <v>14</v>
      </c>
      <c r="C17" s="208" t="s">
        <v>784</v>
      </c>
      <c r="D17" s="208">
        <v>0</v>
      </c>
      <c r="E17" s="83"/>
      <c r="F17" s="207">
        <v>2302961</v>
      </c>
      <c r="G17" s="83"/>
      <c r="H17" s="125" t="s">
        <v>12</v>
      </c>
      <c r="I17" s="83"/>
      <c r="J17" s="207">
        <f>2302961/2</f>
        <v>1151480.5</v>
      </c>
    </row>
    <row r="18" spans="2:11" ht="18.75" customHeight="1" x14ac:dyDescent="0.25">
      <c r="B18" s="62">
        <f t="shared" si="0"/>
        <v>15</v>
      </c>
      <c r="C18" s="208" t="s">
        <v>785</v>
      </c>
      <c r="D18" s="208">
        <v>0</v>
      </c>
      <c r="E18" s="83"/>
      <c r="F18" s="125" t="s">
        <v>12</v>
      </c>
      <c r="G18" s="83"/>
      <c r="H18" s="207">
        <v>2302961</v>
      </c>
      <c r="I18" s="83"/>
      <c r="J18" s="207">
        <f>2302961/2</f>
        <v>1151480.5</v>
      </c>
    </row>
    <row r="19" spans="2:11" ht="18.75" customHeight="1" x14ac:dyDescent="0.25">
      <c r="B19" s="62">
        <f t="shared" si="0"/>
        <v>16</v>
      </c>
      <c r="C19" s="208" t="s">
        <v>786</v>
      </c>
      <c r="D19" s="150">
        <f>SUM(D17:D18)</f>
        <v>0</v>
      </c>
      <c r="E19" s="83"/>
      <c r="F19" s="344">
        <f>SUM(F17:F18)</f>
        <v>2302961</v>
      </c>
      <c r="G19" s="83"/>
      <c r="H19" s="344">
        <f>SUM(H17:H18)</f>
        <v>2302961</v>
      </c>
      <c r="I19" s="83"/>
      <c r="J19" s="344">
        <f>SUM(J17:J18)</f>
        <v>2302961</v>
      </c>
    </row>
    <row r="20" spans="2:11" ht="18.75" customHeight="1" x14ac:dyDescent="0.25">
      <c r="B20" s="62">
        <f t="shared" si="0"/>
        <v>17</v>
      </c>
      <c r="C20" s="254"/>
      <c r="D20" s="214"/>
      <c r="E20" s="214"/>
      <c r="F20" s="214"/>
      <c r="G20" s="214"/>
      <c r="H20" s="214"/>
      <c r="I20" s="214"/>
      <c r="J20" s="214"/>
    </row>
    <row r="21" spans="2:11" ht="18.75" customHeight="1" x14ac:dyDescent="0.25">
      <c r="B21" s="62">
        <f t="shared" si="0"/>
        <v>18</v>
      </c>
      <c r="C21" s="208" t="s">
        <v>787</v>
      </c>
      <c r="D21" s="215">
        <f>'24-Conversion'!D25</f>
        <v>1.4595884834916015</v>
      </c>
      <c r="E21" s="215"/>
      <c r="F21" s="215">
        <f>'24-Conversion'!D25</f>
        <v>1.4595884834916015</v>
      </c>
      <c r="G21" s="215"/>
      <c r="H21" s="215">
        <f>F21</f>
        <v>1.4595884834916015</v>
      </c>
      <c r="I21" s="215"/>
      <c r="J21" s="215">
        <f>F21</f>
        <v>1.4595884834916015</v>
      </c>
    </row>
    <row r="22" spans="2:11" ht="18.75" customHeight="1" x14ac:dyDescent="0.25">
      <c r="B22" s="62">
        <f t="shared" si="0"/>
        <v>19</v>
      </c>
      <c r="C22" s="208"/>
      <c r="D22" s="320" t="s">
        <v>12</v>
      </c>
      <c r="E22" s="83"/>
      <c r="F22" s="83"/>
      <c r="G22" s="83"/>
      <c r="H22" s="83"/>
      <c r="I22" s="83"/>
      <c r="J22" s="83"/>
    </row>
    <row r="23" spans="2:11" ht="18.75" customHeight="1" x14ac:dyDescent="0.25">
      <c r="B23" s="62">
        <f t="shared" si="0"/>
        <v>20</v>
      </c>
      <c r="C23" s="208" t="s">
        <v>788</v>
      </c>
      <c r="D23" s="207">
        <f>E17*E21</f>
        <v>0</v>
      </c>
      <c r="F23" s="207">
        <f>F17*F21</f>
        <v>3361375.3535303022</v>
      </c>
      <c r="G23" s="207"/>
      <c r="H23" s="207">
        <f>H18*H21</f>
        <v>3361375.3535303022</v>
      </c>
      <c r="I23" s="207"/>
      <c r="J23" s="207">
        <f>(J17+J18)*J21</f>
        <v>3361375.3535303022</v>
      </c>
      <c r="K23" s="216"/>
    </row>
    <row r="24" spans="2:11" ht="18.75" customHeight="1" x14ac:dyDescent="0.25">
      <c r="B24" s="62">
        <f t="shared" si="0"/>
        <v>21</v>
      </c>
      <c r="C24" s="208"/>
      <c r="D24" s="208"/>
      <c r="E24" s="68"/>
      <c r="F24" s="68"/>
      <c r="G24" s="68"/>
      <c r="H24" s="68"/>
      <c r="I24" s="68"/>
      <c r="J24" s="68"/>
      <c r="K24" s="152"/>
    </row>
    <row r="25" spans="2:11" ht="18.75" customHeight="1" x14ac:dyDescent="0.25">
      <c r="B25" s="62">
        <f t="shared" si="0"/>
        <v>22</v>
      </c>
      <c r="C25" s="208" t="s">
        <v>789</v>
      </c>
      <c r="D25" s="68"/>
      <c r="E25" s="68"/>
      <c r="F25" s="68"/>
      <c r="G25" s="68"/>
      <c r="H25" s="68"/>
      <c r="I25" s="68"/>
      <c r="J25" s="68"/>
    </row>
    <row r="26" spans="2:11" ht="18.75" customHeight="1" x14ac:dyDescent="0.25">
      <c r="B26" s="62">
        <f t="shared" si="0"/>
        <v>23</v>
      </c>
      <c r="C26" s="208"/>
      <c r="D26" s="208"/>
      <c r="E26" s="68"/>
      <c r="F26" s="68"/>
      <c r="G26" s="68"/>
      <c r="H26" s="68"/>
      <c r="I26" s="68"/>
      <c r="J26" s="68"/>
    </row>
    <row r="27" spans="2:11" ht="18.75" customHeight="1" x14ac:dyDescent="0.25">
      <c r="B27" s="62">
        <f t="shared" si="0"/>
        <v>24</v>
      </c>
      <c r="C27" s="208" t="s">
        <v>790</v>
      </c>
      <c r="D27" s="126"/>
      <c r="E27" s="68"/>
      <c r="F27" s="207">
        <f>F8+F23</f>
        <v>50638731.353530303</v>
      </c>
      <c r="G27" s="208"/>
      <c r="H27" s="207">
        <f>H8+F23</f>
        <v>50638731.353530303</v>
      </c>
      <c r="I27" s="346"/>
      <c r="J27" s="207">
        <f>J8+J23</f>
        <v>50638731.353530303</v>
      </c>
      <c r="K27" s="152" t="s">
        <v>12</v>
      </c>
    </row>
    <row r="28" spans="2:11" ht="18.75" customHeight="1" x14ac:dyDescent="0.25">
      <c r="B28" s="62">
        <f t="shared" si="0"/>
        <v>25</v>
      </c>
      <c r="C28" s="208" t="s">
        <v>791</v>
      </c>
      <c r="D28" s="126"/>
      <c r="E28" s="68"/>
      <c r="F28" s="207">
        <f>D9+F23</f>
        <v>31533908.353530303</v>
      </c>
      <c r="G28" s="208"/>
      <c r="H28" s="342">
        <f>D9</f>
        <v>28172533</v>
      </c>
      <c r="I28" s="346"/>
      <c r="J28" s="207">
        <f>D9+(F23/2)</f>
        <v>29853220.676765151</v>
      </c>
      <c r="K28" s="152" t="s">
        <v>12</v>
      </c>
    </row>
    <row r="29" spans="2:11" ht="18.75" customHeight="1" x14ac:dyDescent="0.25">
      <c r="B29" s="62">
        <f t="shared" si="0"/>
        <v>26</v>
      </c>
      <c r="C29" s="208" t="s">
        <v>792</v>
      </c>
      <c r="D29" s="126"/>
      <c r="E29" s="68"/>
      <c r="F29" s="207">
        <f>F27-F28</f>
        <v>19104823</v>
      </c>
      <c r="G29" s="208"/>
      <c r="H29" s="207">
        <f>H27-H28</f>
        <v>22466198.353530303</v>
      </c>
      <c r="I29" s="346"/>
      <c r="J29" s="207">
        <f>J27-J28</f>
        <v>20785510.676765151</v>
      </c>
      <c r="K29" s="1" t="s">
        <v>12</v>
      </c>
    </row>
    <row r="30" spans="2:11" ht="18.75" customHeight="1" x14ac:dyDescent="0.25">
      <c r="B30" s="62">
        <f t="shared" si="0"/>
        <v>27</v>
      </c>
      <c r="C30" s="208"/>
      <c r="D30" s="208"/>
      <c r="E30" s="68"/>
      <c r="F30" s="207"/>
      <c r="G30" s="208"/>
      <c r="H30" s="207"/>
      <c r="I30" s="208"/>
      <c r="J30" s="207"/>
    </row>
    <row r="31" spans="2:11" ht="18.75" customHeight="1" x14ac:dyDescent="0.25">
      <c r="B31" s="62">
        <f t="shared" si="0"/>
        <v>28</v>
      </c>
      <c r="C31" s="254" t="s">
        <v>793</v>
      </c>
      <c r="D31" s="126"/>
      <c r="E31" s="68"/>
      <c r="F31" s="207">
        <f>'14-Rate base'!F32</f>
        <v>211690747.75</v>
      </c>
      <c r="G31" s="208"/>
      <c r="H31" s="644">
        <v>248936424</v>
      </c>
      <c r="I31" s="208"/>
      <c r="J31" s="644">
        <v>230313586</v>
      </c>
    </row>
    <row r="32" spans="2:11" ht="18.75" customHeight="1" x14ac:dyDescent="0.25">
      <c r="B32" s="62">
        <f t="shared" si="0"/>
        <v>29</v>
      </c>
      <c r="C32" s="254" t="s">
        <v>781</v>
      </c>
      <c r="D32" s="126"/>
      <c r="E32" s="68"/>
      <c r="F32" s="655">
        <f>D13</f>
        <v>19104823</v>
      </c>
      <c r="G32" s="208"/>
      <c r="H32" s="655">
        <f>H29</f>
        <v>22466198.353530303</v>
      </c>
      <c r="I32" s="208"/>
      <c r="J32" s="655">
        <f>J29</f>
        <v>20785510.676765151</v>
      </c>
    </row>
    <row r="33" spans="2:10" ht="18.75" customHeight="1" x14ac:dyDescent="0.25">
      <c r="B33" s="62">
        <f t="shared" si="0"/>
        <v>30</v>
      </c>
      <c r="C33" s="254" t="s">
        <v>782</v>
      </c>
      <c r="D33" s="126"/>
      <c r="E33" s="218"/>
      <c r="F33" s="652">
        <f>F32/F31</f>
        <v>9.024873879968616E-2</v>
      </c>
      <c r="G33" s="657"/>
      <c r="H33" s="652">
        <f>H32/H31</f>
        <v>9.0248738985381674E-2</v>
      </c>
      <c r="I33" s="657"/>
      <c r="J33" s="652">
        <f>J32/J31</f>
        <v>9.0248738851060009E-2</v>
      </c>
    </row>
    <row r="34" spans="2:10" ht="18.75" customHeight="1" x14ac:dyDescent="0.25">
      <c r="B34" s="62">
        <f t="shared" si="0"/>
        <v>31</v>
      </c>
      <c r="C34" s="208"/>
      <c r="D34" s="208"/>
      <c r="E34" s="68"/>
      <c r="F34" s="651"/>
      <c r="G34" s="68"/>
      <c r="H34" s="651"/>
      <c r="I34" s="68"/>
      <c r="J34" s="651"/>
    </row>
    <row r="35" spans="2:10" ht="18.75" customHeight="1" x14ac:dyDescent="0.25">
      <c r="B35" s="62">
        <f t="shared" si="0"/>
        <v>32</v>
      </c>
      <c r="C35" s="208" t="s">
        <v>783</v>
      </c>
      <c r="D35" s="208"/>
      <c r="E35" s="68"/>
      <c r="F35" s="68"/>
      <c r="G35" s="68"/>
      <c r="H35" s="68"/>
      <c r="I35" s="68"/>
      <c r="J35" s="78"/>
    </row>
    <row r="36" spans="2:10" ht="18.75" customHeight="1" x14ac:dyDescent="0.25">
      <c r="B36" s="62">
        <f t="shared" si="0"/>
        <v>33</v>
      </c>
      <c r="C36" s="208" t="s">
        <v>784</v>
      </c>
      <c r="D36" s="126"/>
      <c r="E36" s="68"/>
      <c r="F36" s="645">
        <f>F32-F29</f>
        <v>0</v>
      </c>
      <c r="G36" s="68"/>
      <c r="H36" s="125" t="s">
        <v>12</v>
      </c>
      <c r="I36" s="68"/>
      <c r="J36" s="645">
        <f>J32-J29</f>
        <v>0</v>
      </c>
    </row>
    <row r="37" spans="2:10" ht="18.75" customHeight="1" x14ac:dyDescent="0.25">
      <c r="B37" s="62">
        <f t="shared" si="0"/>
        <v>34</v>
      </c>
      <c r="C37" s="208" t="s">
        <v>785</v>
      </c>
      <c r="D37" s="126"/>
      <c r="E37" s="68"/>
      <c r="F37" s="125" t="s">
        <v>12</v>
      </c>
      <c r="G37" s="68"/>
      <c r="H37" s="647">
        <f>H29-H32</f>
        <v>0</v>
      </c>
      <c r="I37" s="68"/>
      <c r="J37" s="647">
        <f>J29-J32</f>
        <v>0</v>
      </c>
    </row>
    <row r="38" spans="2:10" ht="18.75" customHeight="1" x14ac:dyDescent="0.25">
      <c r="B38" s="62">
        <f t="shared" si="0"/>
        <v>35</v>
      </c>
      <c r="C38" s="208" t="s">
        <v>786</v>
      </c>
      <c r="D38" s="126"/>
      <c r="E38" s="68"/>
      <c r="F38" s="646">
        <f>SUM(F36:F37)</f>
        <v>0</v>
      </c>
      <c r="G38" s="208"/>
      <c r="H38" s="646">
        <f>SUM(H36:H37)</f>
        <v>0</v>
      </c>
      <c r="I38" s="208"/>
      <c r="J38" s="646">
        <f>SUM(J36:J37)</f>
        <v>0</v>
      </c>
    </row>
    <row r="39" spans="2:10" ht="18.75" customHeight="1" x14ac:dyDescent="0.25"/>
    <row r="40" spans="2:10" ht="18.75" customHeight="1" x14ac:dyDescent="0.25">
      <c r="B40" s="1" t="s">
        <v>794</v>
      </c>
    </row>
    <row r="41" spans="2:10" ht="18.75" customHeight="1" x14ac:dyDescent="0.25"/>
    <row r="42" spans="2:10" ht="18.75" customHeight="1" x14ac:dyDescent="0.25"/>
    <row r="43" spans="2:10" ht="18.75" customHeight="1" x14ac:dyDescent="0.25"/>
    <row r="44" spans="2:10" ht="18.75" customHeight="1" x14ac:dyDescent="0.25"/>
    <row r="45" spans="2:10" ht="18.75" customHeight="1" x14ac:dyDescent="0.25"/>
    <row r="46" spans="2:10" ht="18.75" customHeight="1" x14ac:dyDescent="0.25"/>
    <row r="47" spans="2:10" ht="18.75" customHeight="1" x14ac:dyDescent="0.25"/>
    <row r="48" spans="2:10" ht="18.75" customHeight="1" x14ac:dyDescent="0.25"/>
    <row r="49" ht="18.75" customHeight="1" x14ac:dyDescent="0.25"/>
    <row r="50" ht="18.75" customHeight="1" x14ac:dyDescent="0.25"/>
    <row r="51" ht="18.75" customHeight="1" x14ac:dyDescent="0.25"/>
    <row r="52" ht="18.75" customHeight="1" x14ac:dyDescent="0.25"/>
    <row r="53" ht="18.75" customHeight="1" x14ac:dyDescent="0.25"/>
    <row r="54" ht="18.75" customHeight="1" x14ac:dyDescent="0.25"/>
    <row r="55" ht="18.75" customHeight="1" x14ac:dyDescent="0.25"/>
    <row r="56" ht="18.75" customHeight="1" x14ac:dyDescent="0.25"/>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D9F0-8680-4C36-9C92-CE9D5534A980}">
  <sheetPr>
    <tabColor rgb="FFD6DCE4"/>
  </sheetPr>
  <dimension ref="B1:L72"/>
  <sheetViews>
    <sheetView showGridLines="0" topLeftCell="A7" zoomScale="125" zoomScaleNormal="125" zoomScalePageLayoutView="125" workbookViewId="0">
      <selection activeCell="E18" sqref="E18:E19"/>
    </sheetView>
  </sheetViews>
  <sheetFormatPr defaultColWidth="10.85546875" defaultRowHeight="14.1" customHeight="1" x14ac:dyDescent="0.25"/>
  <cols>
    <col min="1" max="1" width="2.7109375" style="1" customWidth="1"/>
    <col min="2" max="2" width="6.7109375" style="1" customWidth="1"/>
    <col min="3" max="3" width="7.28515625" style="14" customWidth="1"/>
    <col min="4" max="4" width="31.85546875" style="1" customWidth="1"/>
    <col min="5" max="7" width="14.7109375" style="1" customWidth="1"/>
    <col min="8" max="8" width="1.7109375" style="1" hidden="1" customWidth="1"/>
    <col min="9" max="11" width="12.7109375" style="1" hidden="1" customWidth="1"/>
    <col min="12" max="16384" width="10.85546875" style="1"/>
  </cols>
  <sheetData>
    <row r="1" spans="2:12" s="9" customFormat="1" ht="9.75" customHeight="1" x14ac:dyDescent="0.25">
      <c r="B1" s="80"/>
    </row>
    <row r="2" spans="2:12" s="8" customFormat="1" ht="29.1" customHeight="1" x14ac:dyDescent="0.25">
      <c r="B2" s="19" t="s">
        <v>642</v>
      </c>
      <c r="C2" s="16"/>
      <c r="I2" s="149"/>
      <c r="L2" s="1"/>
    </row>
    <row r="3" spans="2:12" ht="14.25" customHeight="1" x14ac:dyDescent="0.25">
      <c r="B3" s="712" t="s">
        <v>13</v>
      </c>
      <c r="C3" s="287" t="s">
        <v>54</v>
      </c>
      <c r="D3" s="712" t="s">
        <v>55</v>
      </c>
      <c r="E3" s="712">
        <v>2018</v>
      </c>
      <c r="F3" s="451"/>
      <c r="G3" s="451"/>
      <c r="H3" s="448"/>
      <c r="I3" s="710">
        <v>2017</v>
      </c>
      <c r="J3" s="764"/>
      <c r="K3" s="765"/>
    </row>
    <row r="4" spans="2:12" ht="14.25" customHeight="1" x14ac:dyDescent="0.25">
      <c r="B4" s="62">
        <v>1</v>
      </c>
      <c r="C4" s="69"/>
      <c r="D4" s="70" t="s">
        <v>643</v>
      </c>
      <c r="E4" s="276"/>
      <c r="F4" s="452"/>
      <c r="G4" s="452"/>
      <c r="H4" s="448"/>
      <c r="I4" s="71"/>
      <c r="J4" s="73"/>
      <c r="K4" s="143"/>
    </row>
    <row r="5" spans="2:12" ht="14.25" customHeight="1" x14ac:dyDescent="0.25">
      <c r="B5" s="62">
        <f>B4+1</f>
        <v>2</v>
      </c>
      <c r="C5" s="69">
        <v>201</v>
      </c>
      <c r="D5" s="70" t="s">
        <v>644</v>
      </c>
      <c r="E5" s="336" t="s">
        <v>369</v>
      </c>
      <c r="F5" s="452"/>
      <c r="G5" s="452"/>
      <c r="H5" s="448"/>
      <c r="I5" s="145">
        <v>81471319</v>
      </c>
      <c r="J5" s="73"/>
      <c r="K5" s="143"/>
    </row>
    <row r="6" spans="2:12" ht="14.25" customHeight="1" x14ac:dyDescent="0.25">
      <c r="B6" s="62">
        <f t="shared" ref="B6:B17" si="0">B5+1</f>
        <v>3</v>
      </c>
      <c r="C6" s="69">
        <v>213</v>
      </c>
      <c r="D6" s="70" t="s">
        <v>645</v>
      </c>
      <c r="E6" s="312" t="s">
        <v>369</v>
      </c>
      <c r="F6" s="452"/>
      <c r="G6" s="452"/>
      <c r="H6" s="448"/>
      <c r="I6" s="145">
        <v>-2269968</v>
      </c>
      <c r="J6" s="73"/>
      <c r="K6" s="143"/>
    </row>
    <row r="7" spans="2:12" ht="14.25" customHeight="1" x14ac:dyDescent="0.25">
      <c r="B7" s="62">
        <f t="shared" si="0"/>
        <v>4</v>
      </c>
      <c r="C7" s="69">
        <v>215</v>
      </c>
      <c r="D7" s="70" t="s">
        <v>325</v>
      </c>
      <c r="E7" s="312" t="s">
        <v>369</v>
      </c>
      <c r="F7" s="452"/>
      <c r="G7" s="452"/>
      <c r="H7" s="448"/>
      <c r="I7" s="145">
        <v>40667290</v>
      </c>
      <c r="J7" s="73"/>
      <c r="K7" s="143"/>
    </row>
    <row r="8" spans="2:12" ht="14.25" customHeight="1" x14ac:dyDescent="0.25">
      <c r="B8" s="62">
        <f t="shared" si="0"/>
        <v>5</v>
      </c>
      <c r="C8" s="69"/>
      <c r="D8" s="70" t="s">
        <v>646</v>
      </c>
      <c r="E8" s="312">
        <f>'21-Capital'!E8</f>
        <v>127014672</v>
      </c>
      <c r="F8" s="452"/>
      <c r="G8" s="452"/>
      <c r="H8" s="448"/>
      <c r="I8" s="145">
        <f>SUM(I5:I7)</f>
        <v>119868641</v>
      </c>
      <c r="J8" s="73"/>
      <c r="K8" s="143"/>
      <c r="L8" s="114"/>
    </row>
    <row r="9" spans="2:12" ht="14.25" customHeight="1" x14ac:dyDescent="0.25">
      <c r="B9" s="62">
        <f t="shared" si="0"/>
        <v>6</v>
      </c>
      <c r="C9" s="69"/>
      <c r="D9" s="70"/>
      <c r="E9" s="312"/>
      <c r="F9" s="452"/>
      <c r="G9" s="452"/>
      <c r="H9" s="448"/>
      <c r="I9" s="145"/>
      <c r="J9" s="73"/>
      <c r="K9" s="143"/>
      <c r="L9" s="114"/>
    </row>
    <row r="10" spans="2:12" ht="14.25" customHeight="1" x14ac:dyDescent="0.25">
      <c r="B10" s="62">
        <f t="shared" si="0"/>
        <v>7</v>
      </c>
      <c r="C10" s="69"/>
      <c r="D10" s="70" t="s">
        <v>320</v>
      </c>
      <c r="E10" s="312"/>
      <c r="F10" s="452"/>
      <c r="G10" s="452"/>
      <c r="H10" s="448"/>
      <c r="I10" s="145"/>
      <c r="J10" s="73"/>
      <c r="K10" s="143"/>
    </row>
    <row r="11" spans="2:12" ht="14.25" customHeight="1" x14ac:dyDescent="0.25">
      <c r="B11" s="62">
        <f t="shared" si="0"/>
        <v>8</v>
      </c>
      <c r="C11" s="69">
        <v>221</v>
      </c>
      <c r="D11" s="70" t="s">
        <v>647</v>
      </c>
      <c r="E11" s="312" t="s">
        <v>369</v>
      </c>
      <c r="F11" s="452"/>
      <c r="G11" s="452"/>
      <c r="H11" s="448"/>
      <c r="I11" s="145">
        <v>87370000</v>
      </c>
      <c r="J11" s="73"/>
      <c r="K11" s="143"/>
    </row>
    <row r="12" spans="2:12" ht="14.25" customHeight="1" x14ac:dyDescent="0.25">
      <c r="B12" s="62">
        <f t="shared" si="0"/>
        <v>9</v>
      </c>
      <c r="C12" s="69">
        <v>224</v>
      </c>
      <c r="D12" s="70" t="s">
        <v>648</v>
      </c>
      <c r="E12" s="312" t="s">
        <v>369</v>
      </c>
      <c r="F12" s="452"/>
      <c r="G12" s="452"/>
      <c r="H12" s="448"/>
      <c r="I12" s="145">
        <v>5419252</v>
      </c>
      <c r="J12" s="73"/>
      <c r="K12" s="143"/>
    </row>
    <row r="13" spans="2:12" ht="14.25" customHeight="1" x14ac:dyDescent="0.25">
      <c r="B13" s="62">
        <f t="shared" si="0"/>
        <v>10</v>
      </c>
      <c r="C13" s="69"/>
      <c r="D13" s="70" t="s">
        <v>649</v>
      </c>
      <c r="E13" s="312">
        <f>'21-Capital'!E13</f>
        <v>95877719</v>
      </c>
      <c r="F13" s="452"/>
      <c r="G13" s="452"/>
      <c r="H13" s="448"/>
      <c r="I13" s="145">
        <f>SUM(I11:I12)</f>
        <v>92789252</v>
      </c>
      <c r="J13" s="73"/>
      <c r="K13" s="143"/>
    </row>
    <row r="14" spans="2:12" ht="14.25" customHeight="1" x14ac:dyDescent="0.25">
      <c r="B14" s="62">
        <f t="shared" si="0"/>
        <v>11</v>
      </c>
      <c r="C14" s="69"/>
      <c r="D14" s="70"/>
      <c r="E14" s="312"/>
      <c r="F14" s="452"/>
      <c r="G14" s="452"/>
      <c r="H14" s="448"/>
      <c r="I14" s="145"/>
      <c r="J14" s="73"/>
      <c r="K14" s="143"/>
      <c r="L14" s="114"/>
    </row>
    <row r="15" spans="2:12" ht="14.25" customHeight="1" x14ac:dyDescent="0.25">
      <c r="B15" s="62">
        <f t="shared" si="0"/>
        <v>12</v>
      </c>
      <c r="C15" s="69"/>
      <c r="D15" s="70" t="s">
        <v>650</v>
      </c>
      <c r="E15" s="312">
        <f>'21-Capital'!E15</f>
        <v>222892391</v>
      </c>
      <c r="F15" s="452"/>
      <c r="G15" s="452"/>
      <c r="H15" s="448"/>
      <c r="I15" s="145">
        <f>I8+I13</f>
        <v>212657893</v>
      </c>
      <c r="J15" s="73"/>
      <c r="K15" s="143"/>
      <c r="L15" s="114"/>
    </row>
    <row r="16" spans="2:12" ht="14.25" customHeight="1" x14ac:dyDescent="0.25">
      <c r="B16" s="62">
        <f t="shared" si="0"/>
        <v>13</v>
      </c>
      <c r="C16" s="69"/>
      <c r="D16" s="70"/>
      <c r="E16" s="207"/>
      <c r="F16" s="452"/>
      <c r="G16" s="452"/>
      <c r="H16" s="448"/>
      <c r="I16" s="72"/>
      <c r="J16" s="73"/>
      <c r="K16" s="143"/>
    </row>
    <row r="17" spans="2:12" ht="14.25" customHeight="1" x14ac:dyDescent="0.25">
      <c r="B17" s="62">
        <f t="shared" si="0"/>
        <v>14</v>
      </c>
      <c r="C17" s="69"/>
      <c r="D17" s="151" t="s">
        <v>651</v>
      </c>
      <c r="E17" s="207"/>
      <c r="F17" s="452"/>
      <c r="G17" s="452"/>
      <c r="H17" s="448"/>
      <c r="I17" s="72"/>
      <c r="J17" s="73"/>
      <c r="K17" s="143"/>
    </row>
    <row r="18" spans="2:12" ht="14.25" customHeight="1" x14ac:dyDescent="0.25">
      <c r="B18" s="62">
        <f>B17+1</f>
        <v>15</v>
      </c>
      <c r="C18" s="69"/>
      <c r="D18" s="70" t="s">
        <v>652</v>
      </c>
      <c r="E18" s="345">
        <f>'21-Capital'!E18</f>
        <v>9.6699999999999994E-2</v>
      </c>
      <c r="F18" s="452"/>
      <c r="G18" s="452"/>
      <c r="H18" s="448"/>
      <c r="I18" s="93">
        <v>9.9500000000000005E-2</v>
      </c>
      <c r="J18" s="73"/>
      <c r="K18" s="143"/>
    </row>
    <row r="19" spans="2:12" ht="14.25" customHeight="1" x14ac:dyDescent="0.25">
      <c r="B19" s="62">
        <f t="shared" ref="B19:B24" si="1">B18+1</f>
        <v>16</v>
      </c>
      <c r="C19" s="69"/>
      <c r="D19" s="70" t="s">
        <v>795</v>
      </c>
      <c r="E19" s="345">
        <f>'12-Debt'!J26</f>
        <v>5.5946629407227402E-2</v>
      </c>
      <c r="F19" s="452"/>
      <c r="G19" s="452"/>
      <c r="H19" s="448"/>
      <c r="I19" s="92">
        <v>5.7700000000000001E-2</v>
      </c>
      <c r="J19" s="73"/>
      <c r="K19" s="143"/>
    </row>
    <row r="20" spans="2:12" ht="14.25" customHeight="1" x14ac:dyDescent="0.25">
      <c r="B20" s="62">
        <f t="shared" si="1"/>
        <v>17</v>
      </c>
      <c r="C20" s="69"/>
      <c r="D20" s="70"/>
      <c r="E20" s="207"/>
      <c r="F20" s="452"/>
      <c r="G20" s="452"/>
      <c r="H20" s="448"/>
      <c r="I20" s="102"/>
      <c r="J20" s="104"/>
      <c r="K20" s="144"/>
    </row>
    <row r="21" spans="2:12" ht="14.25" customHeight="1" x14ac:dyDescent="0.25">
      <c r="B21" s="62">
        <f t="shared" si="1"/>
        <v>18</v>
      </c>
      <c r="C21" s="69"/>
      <c r="D21" s="70" t="s">
        <v>654</v>
      </c>
      <c r="E21" s="453" t="s">
        <v>655</v>
      </c>
      <c r="F21" s="146" t="s">
        <v>656</v>
      </c>
      <c r="G21" s="146" t="s">
        <v>657</v>
      </c>
      <c r="H21" s="448"/>
      <c r="I21" s="98" t="s">
        <v>655</v>
      </c>
      <c r="J21" s="711" t="s">
        <v>656</v>
      </c>
      <c r="K21" s="711" t="s">
        <v>657</v>
      </c>
    </row>
    <row r="22" spans="2:12" ht="14.25" customHeight="1" x14ac:dyDescent="0.25">
      <c r="B22" s="62">
        <f t="shared" si="1"/>
        <v>19</v>
      </c>
      <c r="C22" s="69"/>
      <c r="D22" s="70" t="s">
        <v>658</v>
      </c>
      <c r="E22" s="312" t="s">
        <v>369</v>
      </c>
      <c r="F22" s="312" t="s">
        <v>369</v>
      </c>
      <c r="G22" s="312" t="s">
        <v>369</v>
      </c>
      <c r="H22" s="448"/>
      <c r="I22" s="95">
        <f>I8/I15</f>
        <v>0.56366890176984874</v>
      </c>
      <c r="J22" s="95">
        <f>I18</f>
        <v>9.9500000000000005E-2</v>
      </c>
      <c r="K22" s="95">
        <f>I22*J22</f>
        <v>5.6085055726099953E-2</v>
      </c>
    </row>
    <row r="23" spans="2:12" ht="14.25" customHeight="1" x14ac:dyDescent="0.25">
      <c r="B23" s="62">
        <f t="shared" si="1"/>
        <v>20</v>
      </c>
      <c r="C23" s="69"/>
      <c r="D23" s="70" t="s">
        <v>659</v>
      </c>
      <c r="E23" s="312" t="s">
        <v>369</v>
      </c>
      <c r="F23" s="312" t="s">
        <v>369</v>
      </c>
      <c r="G23" s="312" t="s">
        <v>369</v>
      </c>
      <c r="H23" s="448"/>
      <c r="I23" s="95">
        <f>I13/I15</f>
        <v>0.43633109823015126</v>
      </c>
      <c r="J23" s="95">
        <f>I19</f>
        <v>5.7700000000000001E-2</v>
      </c>
      <c r="K23" s="95">
        <f>I23*J23</f>
        <v>2.5176304367879727E-2</v>
      </c>
    </row>
    <row r="24" spans="2:12" ht="14.25" customHeight="1" x14ac:dyDescent="0.25">
      <c r="B24" s="62">
        <f t="shared" si="1"/>
        <v>21</v>
      </c>
      <c r="C24" s="69"/>
      <c r="D24" s="70" t="s">
        <v>660</v>
      </c>
      <c r="E24" s="312" t="s">
        <v>369</v>
      </c>
      <c r="F24" s="312" t="s">
        <v>369</v>
      </c>
      <c r="G24" s="312" t="s">
        <v>369</v>
      </c>
      <c r="H24" s="449"/>
      <c r="I24" s="95">
        <f>SUM(I22:I23)</f>
        <v>1</v>
      </c>
      <c r="J24" s="95"/>
      <c r="K24" s="95">
        <f>SUM(K22:K23)</f>
        <v>8.1261360093979676E-2</v>
      </c>
    </row>
    <row r="25" spans="2:12" ht="14.1" customHeight="1" x14ac:dyDescent="0.25">
      <c r="C25" s="1"/>
    </row>
    <row r="26" spans="2:12" ht="14.1" customHeight="1" x14ac:dyDescent="0.25">
      <c r="B26" s="1" t="s">
        <v>661</v>
      </c>
      <c r="C26" s="1"/>
    </row>
    <row r="27" spans="2:12" ht="14.1" customHeight="1" x14ac:dyDescent="0.25">
      <c r="B27" s="1" t="s">
        <v>662</v>
      </c>
      <c r="C27" s="1"/>
    </row>
    <row r="28" spans="2:12" ht="14.1" customHeight="1" x14ac:dyDescent="0.25">
      <c r="L28" s="109"/>
    </row>
    <row r="29" spans="2:12" ht="14.1" customHeight="1" x14ac:dyDescent="0.25">
      <c r="L29" s="109"/>
    </row>
    <row r="72" spans="2:2" ht="14.1" customHeight="1" x14ac:dyDescent="0.25">
      <c r="B72" s="1" t="s">
        <v>796</v>
      </c>
    </row>
  </sheetData>
  <mergeCells count="1">
    <mergeCell ref="J3:K3"/>
  </mergeCells>
  <phoneticPr fontId="13" type="noConversion"/>
  <pageMargins left="0.75" right="0.75" top="1" bottom="1" header="0.5" footer="0.5"/>
  <pageSetup orientation="portrait" horizontalDpi="4294967292" verticalDpi="4294967292"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23D1-F74B-42EE-9C7A-8556E385B801}">
  <sheetPr>
    <tabColor rgb="FFD6DCE4"/>
  </sheetPr>
  <dimension ref="A1:K40"/>
  <sheetViews>
    <sheetView showGridLines="0" topLeftCell="A23" workbookViewId="0">
      <selection activeCell="J24" sqref="J24"/>
    </sheetView>
  </sheetViews>
  <sheetFormatPr defaultColWidth="9.140625" defaultRowHeight="12.75" x14ac:dyDescent="0.25"/>
  <cols>
    <col min="1" max="1" width="2.7109375" style="1" customWidth="1"/>
    <col min="2" max="2" width="7.42578125" style="1" customWidth="1"/>
    <col min="3" max="3" width="33.7109375" style="1" customWidth="1"/>
    <col min="4" max="4" width="14.7109375" style="1" customWidth="1"/>
    <col min="5" max="5" width="1.7109375" style="1" customWidth="1"/>
    <col min="6" max="6" width="14.7109375" style="1" customWidth="1"/>
    <col min="7" max="7" width="1.7109375" style="1" customWidth="1"/>
    <col min="8" max="8" width="14.7109375" style="1" customWidth="1"/>
    <col min="9" max="9" width="1.7109375" style="1" customWidth="1"/>
    <col min="10" max="10" width="14.7109375" style="1" customWidth="1"/>
    <col min="11" max="11" width="21.7109375" style="1" customWidth="1"/>
    <col min="12" max="16384" width="9.140625" style="1"/>
  </cols>
  <sheetData>
    <row r="1" spans="1:11" s="9" customFormat="1" ht="9.75" customHeight="1" x14ac:dyDescent="0.25">
      <c r="B1" s="80"/>
    </row>
    <row r="2" spans="1:11" s="138" customFormat="1" ht="26.25" x14ac:dyDescent="0.25">
      <c r="A2" s="112"/>
      <c r="B2" s="50" t="s">
        <v>770</v>
      </c>
    </row>
    <row r="3" spans="1:11" ht="27.75" customHeight="1" x14ac:dyDescent="0.25">
      <c r="B3" s="712" t="s">
        <v>13</v>
      </c>
      <c r="C3" s="258" t="s">
        <v>771</v>
      </c>
      <c r="D3" s="321" t="s">
        <v>772</v>
      </c>
      <c r="E3" s="258"/>
      <c r="F3" s="258" t="s">
        <v>773</v>
      </c>
      <c r="G3" s="258"/>
      <c r="H3" s="258" t="s">
        <v>774</v>
      </c>
      <c r="I3" s="258"/>
      <c r="J3" s="258" t="s">
        <v>775</v>
      </c>
      <c r="K3" s="212"/>
    </row>
    <row r="4" spans="1:11" ht="14.25" customHeight="1" x14ac:dyDescent="0.25">
      <c r="B4" s="62">
        <v>1</v>
      </c>
      <c r="C4" s="318" t="s">
        <v>776</v>
      </c>
      <c r="D4" s="355"/>
      <c r="E4" s="355"/>
      <c r="F4" s="356"/>
      <c r="G4" s="355"/>
      <c r="H4" s="356"/>
      <c r="I4" s="355"/>
      <c r="J4" s="356"/>
      <c r="K4" s="213"/>
    </row>
    <row r="5" spans="1:11" ht="14.25" customHeight="1" thickBot="1" x14ac:dyDescent="0.3">
      <c r="B5" s="62">
        <f t="shared" ref="B5:B38" si="0">B4+1</f>
        <v>2</v>
      </c>
      <c r="C5" s="208"/>
      <c r="D5" s="83"/>
      <c r="E5" s="83"/>
      <c r="F5" s="83"/>
      <c r="G5" s="83"/>
      <c r="H5" s="83"/>
      <c r="I5" s="83"/>
      <c r="J5" s="83"/>
      <c r="K5" s="213"/>
    </row>
    <row r="6" spans="1:11" ht="14.25" customHeight="1" thickBot="1" x14ac:dyDescent="0.3">
      <c r="B6" s="62">
        <f>B5+1</f>
        <v>3</v>
      </c>
      <c r="C6" s="208" t="str">
        <f>C19</f>
        <v>Total Income Deciency (Excess)</v>
      </c>
      <c r="D6" s="347">
        <f>D23</f>
        <v>0</v>
      </c>
      <c r="E6" s="424"/>
      <c r="F6" s="335">
        <v>2302961</v>
      </c>
      <c r="G6" s="83"/>
      <c r="H6" s="335">
        <v>2302961</v>
      </c>
      <c r="I6" s="83"/>
      <c r="J6" s="207">
        <v>2302961</v>
      </c>
      <c r="K6" s="213"/>
    </row>
    <row r="7" spans="1:11" ht="14.25" customHeight="1" x14ac:dyDescent="0.25">
      <c r="B7" s="62">
        <f>B6+1</f>
        <v>4</v>
      </c>
      <c r="C7" s="208"/>
      <c r="D7" s="83"/>
      <c r="E7" s="83"/>
      <c r="F7" s="379"/>
      <c r="G7" s="83"/>
      <c r="H7" s="83"/>
      <c r="I7" s="83"/>
      <c r="J7" s="379"/>
      <c r="K7" s="213"/>
    </row>
    <row r="8" spans="1:11" ht="14.25" customHeight="1" x14ac:dyDescent="0.25">
      <c r="B8" s="62">
        <f>B7+1</f>
        <v>5</v>
      </c>
      <c r="C8" s="208" t="s">
        <v>777</v>
      </c>
      <c r="D8" s="83">
        <f>'15-Income'!F4</f>
        <v>47277356</v>
      </c>
      <c r="E8" s="83"/>
      <c r="F8" s="348">
        <f>D8</f>
        <v>47277356</v>
      </c>
      <c r="G8" s="83"/>
      <c r="H8" s="83">
        <f>D8</f>
        <v>47277356</v>
      </c>
      <c r="I8" s="83"/>
      <c r="J8" s="348">
        <f>D8</f>
        <v>47277356</v>
      </c>
      <c r="K8" s="213"/>
    </row>
    <row r="9" spans="1:11" ht="14.25" customHeight="1" x14ac:dyDescent="0.25">
      <c r="B9" s="62">
        <f t="shared" si="0"/>
        <v>6</v>
      </c>
      <c r="C9" s="208" t="s">
        <v>778</v>
      </c>
      <c r="D9" s="113">
        <f>'15-Income'!F26</f>
        <v>28172533</v>
      </c>
      <c r="E9" s="72"/>
      <c r="F9" s="347">
        <f>D9+2302961</f>
        <v>30475494</v>
      </c>
      <c r="G9" s="319"/>
      <c r="H9" s="207">
        <f>D9</f>
        <v>28172533</v>
      </c>
      <c r="I9" s="353"/>
      <c r="J9" s="352">
        <f>D9+(2302961/2)</f>
        <v>29324013.5</v>
      </c>
      <c r="K9" s="213" t="s">
        <v>12</v>
      </c>
    </row>
    <row r="10" spans="1:11" ht="14.25" customHeight="1" x14ac:dyDescent="0.25">
      <c r="B10" s="62">
        <f t="shared" si="0"/>
        <v>7</v>
      </c>
      <c r="C10" s="208" t="s">
        <v>779</v>
      </c>
      <c r="D10" s="83">
        <f>D8-D9</f>
        <v>19104823</v>
      </c>
      <c r="E10" s="83"/>
      <c r="F10" s="349" t="s">
        <v>369</v>
      </c>
      <c r="G10" s="207"/>
      <c r="H10" s="349" t="s">
        <v>12</v>
      </c>
      <c r="I10" s="207" t="s">
        <v>12</v>
      </c>
      <c r="J10" s="349" t="s">
        <v>369</v>
      </c>
      <c r="K10" s="131"/>
    </row>
    <row r="11" spans="1:11" ht="14.25" customHeight="1" x14ac:dyDescent="0.25">
      <c r="B11" s="62">
        <f t="shared" si="0"/>
        <v>8</v>
      </c>
      <c r="C11" s="208"/>
      <c r="D11" s="83"/>
      <c r="E11" s="83"/>
      <c r="F11" s="207"/>
      <c r="G11" s="207"/>
      <c r="H11" s="348"/>
      <c r="I11" s="207"/>
      <c r="J11" s="348"/>
      <c r="K11" s="212"/>
    </row>
    <row r="12" spans="1:11" ht="14.25" customHeight="1" x14ac:dyDescent="0.25">
      <c r="B12" s="62">
        <f t="shared" si="0"/>
        <v>9</v>
      </c>
      <c r="C12" s="254" t="s">
        <v>780</v>
      </c>
      <c r="D12" s="83">
        <f>'14-Rate base'!F32</f>
        <v>211690747.75</v>
      </c>
      <c r="E12" s="83"/>
      <c r="F12" s="207">
        <f>'14-Rate base'!F32</f>
        <v>211690747.75</v>
      </c>
      <c r="G12" s="335"/>
      <c r="H12" s="350">
        <v>248936424</v>
      </c>
      <c r="I12" s="354"/>
      <c r="J12" s="350">
        <v>230313586</v>
      </c>
    </row>
    <row r="13" spans="1:11" ht="14.25" customHeight="1" x14ac:dyDescent="0.25">
      <c r="B13" s="62">
        <f t="shared" si="0"/>
        <v>10</v>
      </c>
      <c r="C13" s="254" t="s">
        <v>781</v>
      </c>
      <c r="D13" s="150">
        <f>'15-Income'!F28</f>
        <v>19104823</v>
      </c>
      <c r="E13" s="150"/>
      <c r="F13" s="349" t="s">
        <v>369</v>
      </c>
      <c r="G13" s="344"/>
      <c r="H13" s="351">
        <f>D13</f>
        <v>19104823</v>
      </c>
      <c r="I13" s="344"/>
      <c r="J13" s="349" t="s">
        <v>369</v>
      </c>
    </row>
    <row r="14" spans="1:11" ht="14.25" customHeight="1" x14ac:dyDescent="0.25">
      <c r="B14" s="62">
        <f t="shared" si="0"/>
        <v>11</v>
      </c>
      <c r="C14" s="254" t="s">
        <v>782</v>
      </c>
      <c r="D14" s="214">
        <f>'23-Rev require'!E18</f>
        <v>9.024873879968616E-2</v>
      </c>
      <c r="E14" s="214"/>
      <c r="F14" s="349" t="s">
        <v>369</v>
      </c>
      <c r="G14" s="345"/>
      <c r="H14" s="349" t="s">
        <v>369</v>
      </c>
      <c r="I14" s="345"/>
      <c r="J14" s="349" t="s">
        <v>369</v>
      </c>
    </row>
    <row r="15" spans="1:11" ht="14.25" customHeight="1" x14ac:dyDescent="0.25">
      <c r="B15" s="62">
        <f t="shared" si="0"/>
        <v>12</v>
      </c>
      <c r="C15" s="254"/>
      <c r="D15" s="214"/>
      <c r="E15" s="214"/>
      <c r="F15" s="214"/>
      <c r="G15" s="214"/>
      <c r="H15" s="214"/>
      <c r="I15" s="214"/>
      <c r="J15" s="214"/>
    </row>
    <row r="16" spans="1:11" ht="14.25" customHeight="1" x14ac:dyDescent="0.25">
      <c r="B16" s="62">
        <f t="shared" si="0"/>
        <v>13</v>
      </c>
      <c r="C16" s="318" t="s">
        <v>783</v>
      </c>
      <c r="D16" s="208"/>
      <c r="E16" s="319"/>
      <c r="F16" s="208"/>
      <c r="G16" s="207"/>
      <c r="H16" s="208"/>
      <c r="I16" s="208"/>
      <c r="J16" s="208"/>
    </row>
    <row r="17" spans="2:11" ht="14.25" customHeight="1" x14ac:dyDescent="0.25">
      <c r="B17" s="62">
        <f t="shared" si="0"/>
        <v>14</v>
      </c>
      <c r="C17" s="208" t="s">
        <v>784</v>
      </c>
      <c r="D17" s="208">
        <v>0</v>
      </c>
      <c r="E17" s="83"/>
      <c r="F17" s="207">
        <v>2302961</v>
      </c>
      <c r="G17" s="83"/>
      <c r="H17" s="125" t="s">
        <v>12</v>
      </c>
      <c r="I17" s="83"/>
      <c r="J17" s="207">
        <f>2302961/2</f>
        <v>1151480.5</v>
      </c>
    </row>
    <row r="18" spans="2:11" ht="14.25" customHeight="1" x14ac:dyDescent="0.25">
      <c r="B18" s="62">
        <f t="shared" si="0"/>
        <v>15</v>
      </c>
      <c r="C18" s="208" t="s">
        <v>785</v>
      </c>
      <c r="D18" s="208">
        <v>0</v>
      </c>
      <c r="E18" s="83"/>
      <c r="F18" s="125" t="s">
        <v>12</v>
      </c>
      <c r="G18" s="83"/>
      <c r="H18" s="207">
        <v>2302961</v>
      </c>
      <c r="I18" s="83"/>
      <c r="J18" s="207">
        <f>2302961/2</f>
        <v>1151480.5</v>
      </c>
    </row>
    <row r="19" spans="2:11" ht="14.25" customHeight="1" x14ac:dyDescent="0.25">
      <c r="B19" s="62">
        <f t="shared" si="0"/>
        <v>16</v>
      </c>
      <c r="C19" s="208" t="s">
        <v>786</v>
      </c>
      <c r="D19" s="150">
        <f>SUM(D17:D18)</f>
        <v>0</v>
      </c>
      <c r="E19" s="83"/>
      <c r="F19" s="344">
        <f>SUM(F17:F18)</f>
        <v>2302961</v>
      </c>
      <c r="G19" s="83"/>
      <c r="H19" s="344">
        <f>SUM(H17:H18)</f>
        <v>2302961</v>
      </c>
      <c r="I19" s="83"/>
      <c r="J19" s="344">
        <f>SUM(J17:J18)</f>
        <v>2302961</v>
      </c>
    </row>
    <row r="20" spans="2:11" ht="14.25" customHeight="1" x14ac:dyDescent="0.25">
      <c r="B20" s="62">
        <f t="shared" si="0"/>
        <v>17</v>
      </c>
      <c r="C20" s="254"/>
      <c r="D20" s="214"/>
      <c r="E20" s="214"/>
      <c r="F20" s="214"/>
      <c r="G20" s="214"/>
      <c r="H20" s="214"/>
      <c r="I20" s="214"/>
      <c r="J20" s="214"/>
    </row>
    <row r="21" spans="2:11" ht="14.25" customHeight="1" x14ac:dyDescent="0.25">
      <c r="B21" s="62">
        <f t="shared" si="0"/>
        <v>18</v>
      </c>
      <c r="C21" s="208" t="s">
        <v>787</v>
      </c>
      <c r="D21" s="215">
        <f>'24-Conversion'!D25</f>
        <v>1.4595884834916015</v>
      </c>
      <c r="E21" s="215"/>
      <c r="F21" s="215">
        <f>'24-Conversion'!D25</f>
        <v>1.4595884834916015</v>
      </c>
      <c r="G21" s="215"/>
      <c r="H21" s="215">
        <f>F21</f>
        <v>1.4595884834916015</v>
      </c>
      <c r="I21" s="215"/>
      <c r="J21" s="215">
        <f>F21</f>
        <v>1.4595884834916015</v>
      </c>
    </row>
    <row r="22" spans="2:11" ht="14.25" customHeight="1" x14ac:dyDescent="0.25">
      <c r="B22" s="62">
        <f t="shared" si="0"/>
        <v>19</v>
      </c>
      <c r="C22" s="208"/>
      <c r="D22" s="320" t="s">
        <v>12</v>
      </c>
      <c r="E22" s="83"/>
      <c r="F22" s="83"/>
      <c r="G22" s="83"/>
      <c r="H22" s="83"/>
      <c r="I22" s="83"/>
      <c r="J22" s="83"/>
    </row>
    <row r="23" spans="2:11" ht="14.25" customHeight="1" x14ac:dyDescent="0.25">
      <c r="B23" s="62">
        <f t="shared" si="0"/>
        <v>20</v>
      </c>
      <c r="C23" s="208" t="s">
        <v>788</v>
      </c>
      <c r="D23" s="207">
        <f>E17*E21</f>
        <v>0</v>
      </c>
      <c r="F23" s="349" t="s">
        <v>369</v>
      </c>
      <c r="G23" s="207"/>
      <c r="H23" s="349" t="s">
        <v>369</v>
      </c>
      <c r="I23" s="207"/>
      <c r="J23" s="349" t="s">
        <v>369</v>
      </c>
      <c r="K23" s="216"/>
    </row>
    <row r="24" spans="2:11" ht="14.25" customHeight="1" x14ac:dyDescent="0.25">
      <c r="B24" s="62">
        <f t="shared" si="0"/>
        <v>21</v>
      </c>
      <c r="C24" s="208"/>
      <c r="D24" s="208"/>
      <c r="E24" s="68"/>
      <c r="F24" s="68"/>
      <c r="G24" s="68"/>
      <c r="H24" s="68"/>
      <c r="I24" s="68"/>
      <c r="J24" s="68"/>
      <c r="K24" s="152"/>
    </row>
    <row r="25" spans="2:11" ht="14.25" customHeight="1" x14ac:dyDescent="0.25">
      <c r="B25" s="62">
        <f t="shared" si="0"/>
        <v>22</v>
      </c>
      <c r="C25" s="208" t="s">
        <v>789</v>
      </c>
      <c r="D25" s="208"/>
      <c r="E25" s="208"/>
      <c r="F25" s="208"/>
      <c r="G25" s="208"/>
      <c r="H25" s="208"/>
      <c r="I25" s="208"/>
      <c r="J25" s="208"/>
    </row>
    <row r="26" spans="2:11" ht="14.25" customHeight="1" x14ac:dyDescent="0.25">
      <c r="B26" s="62">
        <f t="shared" si="0"/>
        <v>23</v>
      </c>
      <c r="C26" s="208"/>
      <c r="D26" s="208"/>
      <c r="E26" s="68"/>
      <c r="F26" s="68"/>
      <c r="G26" s="68"/>
      <c r="H26" s="68"/>
      <c r="I26" s="68"/>
      <c r="J26" s="68"/>
    </row>
    <row r="27" spans="2:11" ht="14.25" customHeight="1" x14ac:dyDescent="0.25">
      <c r="B27" s="62">
        <f t="shared" si="0"/>
        <v>24</v>
      </c>
      <c r="C27" s="208" t="s">
        <v>790</v>
      </c>
      <c r="D27" s="126"/>
      <c r="E27" s="68"/>
      <c r="F27" s="349" t="s">
        <v>369</v>
      </c>
      <c r="G27" s="208"/>
      <c r="H27" s="349" t="s">
        <v>369</v>
      </c>
      <c r="I27" s="346"/>
      <c r="J27" s="349" t="s">
        <v>369</v>
      </c>
      <c r="K27" s="152" t="s">
        <v>12</v>
      </c>
    </row>
    <row r="28" spans="2:11" ht="14.25" customHeight="1" x14ac:dyDescent="0.25">
      <c r="B28" s="62">
        <f t="shared" si="0"/>
        <v>25</v>
      </c>
      <c r="C28" s="208" t="s">
        <v>791</v>
      </c>
      <c r="D28" s="126"/>
      <c r="E28" s="68"/>
      <c r="F28" s="349" t="s">
        <v>369</v>
      </c>
      <c r="G28" s="208"/>
      <c r="H28" s="349" t="s">
        <v>369</v>
      </c>
      <c r="I28" s="346"/>
      <c r="J28" s="349" t="s">
        <v>369</v>
      </c>
      <c r="K28" s="152" t="s">
        <v>12</v>
      </c>
    </row>
    <row r="29" spans="2:11" ht="14.25" customHeight="1" x14ac:dyDescent="0.25">
      <c r="B29" s="62">
        <f t="shared" si="0"/>
        <v>26</v>
      </c>
      <c r="C29" s="208" t="s">
        <v>792</v>
      </c>
      <c r="D29" s="126"/>
      <c r="E29" s="68"/>
      <c r="F29" s="349" t="s">
        <v>369</v>
      </c>
      <c r="G29" s="208"/>
      <c r="H29" s="349" t="s">
        <v>369</v>
      </c>
      <c r="I29" s="346"/>
      <c r="J29" s="349" t="s">
        <v>369</v>
      </c>
      <c r="K29" s="1" t="s">
        <v>12</v>
      </c>
    </row>
    <row r="30" spans="2:11" ht="14.25" customHeight="1" x14ac:dyDescent="0.25">
      <c r="B30" s="62">
        <f t="shared" si="0"/>
        <v>27</v>
      </c>
      <c r="C30" s="208"/>
      <c r="D30" s="208"/>
      <c r="E30" s="68"/>
      <c r="F30" s="207"/>
      <c r="G30" s="208"/>
      <c r="H30" s="349" t="s">
        <v>12</v>
      </c>
      <c r="I30" s="208"/>
      <c r="J30" s="349" t="s">
        <v>12</v>
      </c>
    </row>
    <row r="31" spans="2:11" ht="14.25" customHeight="1" x14ac:dyDescent="0.25">
      <c r="B31" s="62">
        <f t="shared" si="0"/>
        <v>28</v>
      </c>
      <c r="C31" s="254" t="s">
        <v>793</v>
      </c>
      <c r="D31" s="126"/>
      <c r="E31" s="68"/>
      <c r="F31" s="349" t="s">
        <v>369</v>
      </c>
      <c r="G31" s="208"/>
      <c r="H31" s="349" t="s">
        <v>369</v>
      </c>
      <c r="I31" s="208"/>
      <c r="J31" s="349" t="s">
        <v>369</v>
      </c>
    </row>
    <row r="32" spans="2:11" ht="14.25" customHeight="1" x14ac:dyDescent="0.25">
      <c r="B32" s="62">
        <f t="shared" si="0"/>
        <v>29</v>
      </c>
      <c r="C32" s="254" t="s">
        <v>781</v>
      </c>
      <c r="D32" s="126"/>
      <c r="E32" s="68"/>
      <c r="F32" s="349" t="s">
        <v>369</v>
      </c>
      <c r="G32" s="208"/>
      <c r="H32" s="349" t="s">
        <v>369</v>
      </c>
      <c r="I32" s="208"/>
      <c r="J32" s="349" t="s">
        <v>369</v>
      </c>
    </row>
    <row r="33" spans="2:10" ht="14.25" customHeight="1" x14ac:dyDescent="0.25">
      <c r="B33" s="62">
        <f t="shared" si="0"/>
        <v>30</v>
      </c>
      <c r="C33" s="254" t="s">
        <v>782</v>
      </c>
      <c r="D33" s="126"/>
      <c r="E33" s="68"/>
      <c r="F33" s="349" t="s">
        <v>369</v>
      </c>
      <c r="G33" s="208"/>
      <c r="H33" s="349" t="s">
        <v>369</v>
      </c>
      <c r="I33" s="208"/>
      <c r="J33" s="349" t="s">
        <v>369</v>
      </c>
    </row>
    <row r="34" spans="2:10" ht="14.25" customHeight="1" x14ac:dyDescent="0.25">
      <c r="B34" s="62">
        <f t="shared" si="0"/>
        <v>31</v>
      </c>
      <c r="C34" s="208"/>
      <c r="D34" s="208"/>
      <c r="E34" s="68"/>
      <c r="F34" s="214"/>
      <c r="G34" s="68"/>
      <c r="H34" s="349" t="s">
        <v>12</v>
      </c>
      <c r="I34" s="68"/>
      <c r="J34" s="349" t="s">
        <v>12</v>
      </c>
    </row>
    <row r="35" spans="2:10" ht="14.25" customHeight="1" x14ac:dyDescent="0.25">
      <c r="B35" s="62">
        <f t="shared" si="0"/>
        <v>32</v>
      </c>
      <c r="C35" s="208" t="s">
        <v>783</v>
      </c>
      <c r="D35" s="208"/>
      <c r="E35" s="68"/>
      <c r="F35" s="68"/>
      <c r="G35" s="68"/>
      <c r="H35" s="349" t="s">
        <v>12</v>
      </c>
      <c r="I35" s="68" t="s">
        <v>12</v>
      </c>
      <c r="J35" s="349" t="s">
        <v>12</v>
      </c>
    </row>
    <row r="36" spans="2:10" ht="14.25" customHeight="1" x14ac:dyDescent="0.25">
      <c r="B36" s="62">
        <f t="shared" si="0"/>
        <v>33</v>
      </c>
      <c r="C36" s="208" t="s">
        <v>784</v>
      </c>
      <c r="D36" s="126"/>
      <c r="E36" s="68"/>
      <c r="F36" s="349" t="s">
        <v>369</v>
      </c>
      <c r="G36" s="68"/>
      <c r="H36" s="125"/>
      <c r="I36" s="68"/>
      <c r="J36" s="349" t="s">
        <v>369</v>
      </c>
    </row>
    <row r="37" spans="2:10" ht="14.25" customHeight="1" x14ac:dyDescent="0.25">
      <c r="B37" s="62">
        <f t="shared" si="0"/>
        <v>34</v>
      </c>
      <c r="C37" s="208" t="s">
        <v>785</v>
      </c>
      <c r="D37" s="126"/>
      <c r="E37" s="68"/>
      <c r="F37" s="125"/>
      <c r="G37" s="68"/>
      <c r="H37" s="349" t="s">
        <v>369</v>
      </c>
      <c r="I37" s="68"/>
      <c r="J37" s="349" t="s">
        <v>369</v>
      </c>
    </row>
    <row r="38" spans="2:10" ht="14.25" customHeight="1" x14ac:dyDescent="0.25">
      <c r="B38" s="62">
        <f t="shared" si="0"/>
        <v>35</v>
      </c>
      <c r="C38" s="208" t="s">
        <v>786</v>
      </c>
      <c r="D38" s="126"/>
      <c r="E38" s="68"/>
      <c r="F38" s="349" t="s">
        <v>369</v>
      </c>
      <c r="G38" s="68"/>
      <c r="H38" s="349" t="s">
        <v>369</v>
      </c>
      <c r="I38" s="68"/>
      <c r="J38" s="349" t="s">
        <v>369</v>
      </c>
    </row>
    <row r="40" spans="2:10" x14ac:dyDescent="0.25">
      <c r="B40" s="1" t="s">
        <v>797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FB30F-C16B-4A34-81A1-EE94408D4E27}">
  <dimension ref="A1:I44"/>
  <sheetViews>
    <sheetView showGridLines="0" topLeftCell="A13" workbookViewId="0">
      <selection activeCell="B2" sqref="B2:E27"/>
    </sheetView>
  </sheetViews>
  <sheetFormatPr defaultColWidth="9.140625" defaultRowHeight="12.75" x14ac:dyDescent="0.25"/>
  <cols>
    <col min="1" max="1" width="2.7109375" style="1" customWidth="1"/>
    <col min="2" max="2" width="7.42578125" style="1" customWidth="1"/>
    <col min="3" max="3" width="37.42578125" style="1" customWidth="1"/>
    <col min="4" max="5" width="16.7109375" style="1" customWidth="1"/>
    <col min="6" max="16384" width="9.140625" style="1"/>
  </cols>
  <sheetData>
    <row r="1" spans="1:9" s="9" customFormat="1" ht="9.75" customHeight="1" x14ac:dyDescent="0.25">
      <c r="B1" s="80"/>
    </row>
    <row r="2" spans="1:9" s="138" customFormat="1" ht="37.5" customHeight="1" x14ac:dyDescent="0.25">
      <c r="A2" s="112"/>
      <c r="B2" s="50" t="s">
        <v>798</v>
      </c>
      <c r="F2" s="462"/>
      <c r="G2" s="462"/>
      <c r="H2" s="462"/>
    </row>
    <row r="3" spans="1:9" ht="18.75" customHeight="1" x14ac:dyDescent="0.25">
      <c r="B3" s="708" t="s">
        <v>799</v>
      </c>
      <c r="C3" s="258" t="s">
        <v>771</v>
      </c>
      <c r="D3" s="681" t="s">
        <v>800</v>
      </c>
      <c r="E3" s="681" t="s">
        <v>801</v>
      </c>
      <c r="F3" s="217"/>
      <c r="G3" s="217"/>
      <c r="H3" s="217"/>
      <c r="I3" s="217"/>
    </row>
    <row r="4" spans="1:9" ht="18.75" customHeight="1" x14ac:dyDescent="0.25">
      <c r="B4" s="134">
        <v>1</v>
      </c>
      <c r="C4" s="68" t="s">
        <v>802</v>
      </c>
      <c r="D4" s="524">
        <f>'23-Rev require'!H23</f>
        <v>10576972.800000001</v>
      </c>
      <c r="E4" s="731" t="s">
        <v>803</v>
      </c>
      <c r="F4" s="217"/>
      <c r="G4" s="217"/>
      <c r="H4" s="217"/>
      <c r="I4" s="217"/>
    </row>
    <row r="5" spans="1:9" ht="18.75" customHeight="1" x14ac:dyDescent="0.25">
      <c r="B5" s="134">
        <f t="shared" ref="B5:B6" si="0">1+B4</f>
        <v>2</v>
      </c>
      <c r="C5" s="218" t="s">
        <v>804</v>
      </c>
      <c r="D5" s="719">
        <v>1.25</v>
      </c>
      <c r="E5" s="731" t="s">
        <v>803</v>
      </c>
      <c r="F5" s="217"/>
      <c r="G5" s="217"/>
      <c r="H5" s="217"/>
      <c r="I5" s="217"/>
    </row>
    <row r="6" spans="1:9" ht="18.75" customHeight="1" x14ac:dyDescent="0.25">
      <c r="B6" s="134">
        <f t="shared" si="0"/>
        <v>3</v>
      </c>
      <c r="C6" s="68" t="s">
        <v>805</v>
      </c>
      <c r="D6" s="539">
        <f>D4*D5</f>
        <v>13221216</v>
      </c>
      <c r="E6" s="731" t="s">
        <v>803</v>
      </c>
      <c r="F6" s="217"/>
      <c r="G6" s="217"/>
      <c r="H6" s="217"/>
      <c r="I6" s="217"/>
    </row>
    <row r="7" spans="1:9" ht="18.75" customHeight="1" x14ac:dyDescent="0.25">
      <c r="B7" s="134">
        <f>1+B6</f>
        <v>4</v>
      </c>
      <c r="C7" s="68"/>
      <c r="D7" s="113"/>
      <c r="E7" s="732" t="s">
        <v>803</v>
      </c>
      <c r="F7" s="217"/>
      <c r="G7" s="217"/>
      <c r="H7" s="217"/>
      <c r="I7" s="217"/>
    </row>
    <row r="8" spans="1:9" ht="18.75" customHeight="1" x14ac:dyDescent="0.2">
      <c r="B8" s="134">
        <f t="shared" ref="B8:B27" si="1">1+B7</f>
        <v>5</v>
      </c>
      <c r="C8" s="689" t="s">
        <v>447</v>
      </c>
      <c r="D8" s="113"/>
      <c r="E8" s="733">
        <f>'23-Rev require'!K21</f>
        <v>5508840</v>
      </c>
      <c r="F8" s="217"/>
      <c r="G8" s="217"/>
      <c r="H8" s="217"/>
      <c r="I8" s="217"/>
    </row>
    <row r="9" spans="1:9" ht="18.75" customHeight="1" x14ac:dyDescent="0.2">
      <c r="B9" s="134">
        <f t="shared" si="1"/>
        <v>6</v>
      </c>
      <c r="C9" s="689" t="s">
        <v>806</v>
      </c>
      <c r="D9" s="113"/>
      <c r="E9" s="734">
        <v>2</v>
      </c>
      <c r="F9" s="217"/>
      <c r="G9" s="217"/>
      <c r="H9" s="217"/>
      <c r="I9" s="217"/>
    </row>
    <row r="10" spans="1:9" ht="18.75" customHeight="1" x14ac:dyDescent="0.2">
      <c r="B10" s="134">
        <f t="shared" si="1"/>
        <v>7</v>
      </c>
      <c r="C10" s="690" t="s">
        <v>807</v>
      </c>
      <c r="D10" s="113"/>
      <c r="E10" s="735">
        <f>E8*E9</f>
        <v>11017680</v>
      </c>
      <c r="F10" s="217"/>
      <c r="G10" s="217"/>
      <c r="H10" s="217"/>
      <c r="I10" s="217"/>
    </row>
    <row r="11" spans="1:9" ht="18.75" customHeight="1" x14ac:dyDescent="0.25">
      <c r="B11" s="134">
        <f t="shared" si="1"/>
        <v>8</v>
      </c>
      <c r="C11" s="68"/>
      <c r="D11" s="113"/>
      <c r="E11" s="436"/>
      <c r="F11" s="217"/>
      <c r="G11" s="217"/>
      <c r="H11" s="217"/>
      <c r="I11" s="217"/>
    </row>
    <row r="12" spans="1:9" ht="18.75" customHeight="1" x14ac:dyDescent="0.25">
      <c r="B12" s="134">
        <f t="shared" si="1"/>
        <v>9</v>
      </c>
      <c r="C12" s="68" t="s">
        <v>808</v>
      </c>
      <c r="D12" s="720">
        <f>D6-D16</f>
        <v>10918255</v>
      </c>
      <c r="E12" s="720">
        <f>E10-E16</f>
        <v>8714719</v>
      </c>
      <c r="F12" s="217"/>
      <c r="G12" s="217"/>
      <c r="H12" s="217"/>
      <c r="I12" s="217"/>
    </row>
    <row r="13" spans="1:9" ht="18.75" customHeight="1" x14ac:dyDescent="0.25">
      <c r="B13" s="134">
        <f t="shared" si="1"/>
        <v>10</v>
      </c>
      <c r="C13" s="218" t="s">
        <v>809</v>
      </c>
      <c r="D13" s="721">
        <f>D12/D4</f>
        <v>1.0322665290393864</v>
      </c>
      <c r="E13" s="722"/>
      <c r="F13" s="217"/>
      <c r="G13" s="217"/>
      <c r="H13" s="217"/>
      <c r="I13" s="217"/>
    </row>
    <row r="14" spans="1:9" ht="18.75" customHeight="1" x14ac:dyDescent="0.25">
      <c r="B14" s="134">
        <f t="shared" si="1"/>
        <v>11</v>
      </c>
      <c r="C14" s="68" t="s">
        <v>810</v>
      </c>
      <c r="D14" s="723"/>
      <c r="E14" s="724">
        <f>E12/E8</f>
        <v>1.5819517357556219</v>
      </c>
      <c r="F14" s="217"/>
      <c r="G14" s="217"/>
      <c r="H14" s="217"/>
      <c r="I14" s="217"/>
    </row>
    <row r="15" spans="1:9" ht="18.75" customHeight="1" x14ac:dyDescent="0.25">
      <c r="B15" s="643">
        <f t="shared" si="1"/>
        <v>12</v>
      </c>
      <c r="C15" s="209"/>
      <c r="D15" s="725"/>
      <c r="E15" s="726"/>
      <c r="F15" s="217"/>
      <c r="G15" s="217"/>
      <c r="H15" s="217"/>
      <c r="I15" s="217"/>
    </row>
    <row r="16" spans="1:9" ht="18.75" customHeight="1" x14ac:dyDescent="0.25">
      <c r="B16" s="62">
        <f t="shared" si="1"/>
        <v>13</v>
      </c>
      <c r="C16" s="68" t="s">
        <v>783</v>
      </c>
      <c r="D16" s="727">
        <f>'25-Deficiency'!F17</f>
        <v>2302961</v>
      </c>
      <c r="E16" s="736">
        <f>D16</f>
        <v>2302961</v>
      </c>
      <c r="F16" s="217"/>
      <c r="G16" s="217"/>
      <c r="H16" s="217"/>
      <c r="I16" s="217"/>
    </row>
    <row r="17" spans="2:9" ht="18.75" customHeight="1" x14ac:dyDescent="0.25">
      <c r="B17" s="62">
        <f t="shared" si="1"/>
        <v>14</v>
      </c>
      <c r="C17" s="68"/>
      <c r="D17" s="436"/>
      <c r="E17" s="737" t="s">
        <v>803</v>
      </c>
      <c r="F17" s="217"/>
      <c r="G17" s="217"/>
      <c r="H17" s="217"/>
      <c r="I17" s="217"/>
    </row>
    <row r="18" spans="2:9" ht="18.75" customHeight="1" x14ac:dyDescent="0.25">
      <c r="B18" s="62">
        <f t="shared" si="1"/>
        <v>15</v>
      </c>
      <c r="C18" s="68" t="s">
        <v>811</v>
      </c>
      <c r="D18" s="728">
        <f>1/(1-0.02)</f>
        <v>1.0204081632653061</v>
      </c>
      <c r="E18" s="737">
        <v>1.0101</v>
      </c>
      <c r="F18" s="217"/>
      <c r="G18" s="217"/>
      <c r="H18" s="217"/>
      <c r="I18" s="217"/>
    </row>
    <row r="19" spans="2:9" ht="18.75" customHeight="1" x14ac:dyDescent="0.25">
      <c r="B19" s="62">
        <f t="shared" si="1"/>
        <v>16</v>
      </c>
      <c r="C19" s="68"/>
      <c r="D19" s="436"/>
      <c r="E19" s="737" t="s">
        <v>803</v>
      </c>
      <c r="F19" s="217"/>
      <c r="G19" s="217"/>
      <c r="H19" s="217"/>
      <c r="I19" s="217"/>
    </row>
    <row r="20" spans="2:9" ht="18.75" customHeight="1" x14ac:dyDescent="0.25">
      <c r="B20" s="62">
        <f t="shared" si="1"/>
        <v>17</v>
      </c>
      <c r="C20" s="55" t="s">
        <v>812</v>
      </c>
      <c r="D20" s="727">
        <f>D16*D18</f>
        <v>2349960.2040816327</v>
      </c>
      <c r="E20" s="736">
        <f>E16*E18</f>
        <v>2326220.9060999998</v>
      </c>
      <c r="F20" s="217"/>
      <c r="G20" s="217"/>
      <c r="H20" s="217"/>
      <c r="I20" s="217"/>
    </row>
    <row r="21" spans="2:9" ht="18.75" customHeight="1" x14ac:dyDescent="0.25">
      <c r="B21" s="62">
        <f t="shared" si="1"/>
        <v>18</v>
      </c>
      <c r="C21" s="68"/>
      <c r="D21" s="727"/>
      <c r="E21" s="727"/>
      <c r="F21" s="217"/>
      <c r="G21" s="217"/>
      <c r="H21" s="217"/>
      <c r="I21" s="217"/>
    </row>
    <row r="22" spans="2:9" ht="18.75" customHeight="1" x14ac:dyDescent="0.25">
      <c r="B22" s="62">
        <f t="shared" si="1"/>
        <v>19</v>
      </c>
      <c r="C22" s="68" t="s">
        <v>813</v>
      </c>
      <c r="D22" s="727">
        <f>'23-Rev require'!H16</f>
        <v>13221216</v>
      </c>
      <c r="E22" s="727">
        <f>'23-Rev require'!K32</f>
        <v>11017680.000000004</v>
      </c>
      <c r="F22" s="217"/>
      <c r="G22" s="217"/>
      <c r="H22" s="217"/>
      <c r="I22" s="217"/>
    </row>
    <row r="23" spans="2:9" ht="18.75" customHeight="1" x14ac:dyDescent="0.25">
      <c r="B23" s="62">
        <f t="shared" si="1"/>
        <v>20</v>
      </c>
      <c r="C23" s="68" t="s">
        <v>814</v>
      </c>
      <c r="D23" s="727">
        <f>D20</f>
        <v>2349960.2040816327</v>
      </c>
      <c r="E23" s="736">
        <f>E20</f>
        <v>2326220.9060999998</v>
      </c>
      <c r="F23" s="217"/>
      <c r="G23" s="217"/>
      <c r="H23" s="217"/>
      <c r="I23" s="217"/>
    </row>
    <row r="24" spans="2:9" ht="18.75" customHeight="1" x14ac:dyDescent="0.25">
      <c r="B24" s="62">
        <f t="shared" si="1"/>
        <v>21</v>
      </c>
      <c r="C24" s="68" t="s">
        <v>815</v>
      </c>
      <c r="D24" s="727">
        <f>D20-D16</f>
        <v>46999.204081632663</v>
      </c>
      <c r="E24" s="727">
        <f>E20-E16</f>
        <v>23259.906099999789</v>
      </c>
      <c r="F24" s="217"/>
      <c r="G24" s="217"/>
      <c r="H24" s="217"/>
      <c r="I24" s="217"/>
    </row>
    <row r="25" spans="2:9" ht="18.75" customHeight="1" x14ac:dyDescent="0.25">
      <c r="B25" s="62">
        <f t="shared" si="1"/>
        <v>22</v>
      </c>
      <c r="C25" s="68" t="s">
        <v>816</v>
      </c>
      <c r="D25" s="727">
        <f>D22</f>
        <v>13221216</v>
      </c>
      <c r="E25" s="738">
        <f>E22</f>
        <v>11017680.000000004</v>
      </c>
      <c r="F25" s="217"/>
      <c r="G25" s="217"/>
      <c r="H25" s="217"/>
      <c r="I25" s="217"/>
    </row>
    <row r="26" spans="2:9" ht="18.75" customHeight="1" x14ac:dyDescent="0.25">
      <c r="B26" s="62">
        <f t="shared" si="1"/>
        <v>23</v>
      </c>
      <c r="C26" s="68" t="s">
        <v>817</v>
      </c>
      <c r="D26" s="729">
        <f>D25/D4</f>
        <v>1.25</v>
      </c>
      <c r="E26" s="730"/>
      <c r="F26" s="217"/>
      <c r="G26" s="217"/>
      <c r="H26" s="217"/>
      <c r="I26" s="217"/>
    </row>
    <row r="27" spans="2:9" ht="18.75" customHeight="1" x14ac:dyDescent="0.25">
      <c r="B27" s="62">
        <f t="shared" si="1"/>
        <v>24</v>
      </c>
      <c r="C27" s="68" t="s">
        <v>818</v>
      </c>
      <c r="D27" s="730"/>
      <c r="E27" s="739">
        <f>E25/E8</f>
        <v>2.0000000000000009</v>
      </c>
      <c r="F27" s="217"/>
      <c r="G27" s="217"/>
      <c r="H27" s="217"/>
      <c r="I27" s="217"/>
    </row>
    <row r="28" spans="2:9" ht="18.75" customHeight="1" x14ac:dyDescent="0.25">
      <c r="F28" s="217"/>
      <c r="G28" s="217"/>
      <c r="H28" s="217"/>
      <c r="I28" s="217"/>
    </row>
    <row r="29" spans="2:9" ht="18.75" customHeight="1" x14ac:dyDescent="0.25">
      <c r="B29" s="1" t="s">
        <v>819</v>
      </c>
      <c r="F29" s="217"/>
      <c r="G29" s="217"/>
      <c r="H29" s="217"/>
      <c r="I29" s="217"/>
    </row>
    <row r="30" spans="2:9" ht="18.75" customHeight="1" x14ac:dyDescent="0.25">
      <c r="B30" s="1" t="s">
        <v>820</v>
      </c>
      <c r="F30" s="217"/>
      <c r="G30" s="217"/>
      <c r="H30" s="217"/>
      <c r="I30" s="217"/>
    </row>
    <row r="31" spans="2:9" ht="18.75" customHeight="1" x14ac:dyDescent="0.25">
      <c r="F31" s="217"/>
      <c r="G31" s="217"/>
      <c r="H31" s="217"/>
      <c r="I31" s="217"/>
    </row>
    <row r="32" spans="2:9" ht="18.75" customHeight="1" x14ac:dyDescent="0.25">
      <c r="F32" s="217"/>
      <c r="G32" s="217"/>
      <c r="H32" s="217"/>
      <c r="I32" s="217"/>
    </row>
    <row r="33" ht="18.75" customHeight="1" x14ac:dyDescent="0.25"/>
    <row r="34" ht="18.75" customHeight="1" x14ac:dyDescent="0.25"/>
    <row r="35" ht="18.75" customHeight="1" x14ac:dyDescent="0.25"/>
    <row r="36" ht="18.75" customHeight="1" x14ac:dyDescent="0.25"/>
    <row r="37" ht="18.75" customHeight="1" x14ac:dyDescent="0.25"/>
    <row r="38" ht="18.75" customHeight="1" x14ac:dyDescent="0.25"/>
    <row r="39" ht="18.75" customHeight="1" x14ac:dyDescent="0.25"/>
    <row r="40" ht="18.75" customHeight="1" x14ac:dyDescent="0.25"/>
    <row r="41" ht="18.75" customHeight="1" x14ac:dyDescent="0.25"/>
    <row r="42" ht="18.75" customHeight="1" x14ac:dyDescent="0.25"/>
    <row r="43" ht="18.75" customHeight="1" x14ac:dyDescent="0.25"/>
    <row r="44" ht="18.75" customHeight="1" x14ac:dyDescent="0.25"/>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55"/>
  <sheetViews>
    <sheetView showGridLines="0" topLeftCell="A19" zoomScale="125" zoomScaleNormal="125" zoomScalePageLayoutView="125" workbookViewId="0">
      <selection activeCell="J25" sqref="J25"/>
    </sheetView>
  </sheetViews>
  <sheetFormatPr defaultColWidth="11.42578125" defaultRowHeight="15" x14ac:dyDescent="0.25"/>
  <cols>
    <col min="1" max="1" width="2.7109375" customWidth="1"/>
  </cols>
  <sheetData>
    <row r="1" spans="2:2" s="9" customFormat="1" ht="9.75" customHeight="1" x14ac:dyDescent="0.25">
      <c r="B1" s="80"/>
    </row>
    <row r="2" spans="2:2" s="20" customFormat="1" ht="37.5" customHeight="1" x14ac:dyDescent="0.25">
      <c r="B2" s="37" t="s">
        <v>9</v>
      </c>
    </row>
    <row r="44" spans="1:1" x14ac:dyDescent="0.25">
      <c r="A44" s="692" t="s">
        <v>10</v>
      </c>
    </row>
    <row r="55" s="13" customFormat="1" ht="12.75" x14ac:dyDescent="0.2"/>
  </sheetData>
  <phoneticPr fontId="13" type="noConversion"/>
  <hyperlinks>
    <hyperlink ref="A44" r:id="rId1" xr:uid="{6F8C7D0E-770D-41E7-9FA9-F5D4E0B3B037}"/>
  </hyperlinks>
  <pageMargins left="0.75" right="0.75" top="1" bottom="1" header="0.5" footer="0.5"/>
  <pageSetup orientation="portrait" horizontalDpi="4294967292" verticalDpi="4294967292" r:id="rId2"/>
  <drawing r:id="rId3"/>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751E1-3918-4934-A516-2B2791119739}">
  <dimension ref="A1:L41"/>
  <sheetViews>
    <sheetView showGridLines="0" workbookViewId="0">
      <selection activeCell="O19" sqref="O19"/>
    </sheetView>
  </sheetViews>
  <sheetFormatPr defaultColWidth="9.140625" defaultRowHeight="12.75" x14ac:dyDescent="0.25"/>
  <cols>
    <col min="1" max="1" width="2.7109375" style="1" customWidth="1"/>
    <col min="2" max="2" width="5.85546875" style="1" customWidth="1"/>
    <col min="3" max="3" width="12.140625" style="1" customWidth="1"/>
    <col min="4" max="10" width="10.28515625" style="1" customWidth="1"/>
    <col min="11" max="11" width="12.85546875" style="1" customWidth="1"/>
    <col min="12" max="12" width="9.140625" style="2"/>
    <col min="13" max="16384" width="9.140625" style="1"/>
  </cols>
  <sheetData>
    <row r="1" spans="1:12" s="9" customFormat="1" ht="9.75" customHeight="1" x14ac:dyDescent="0.25">
      <c r="B1" s="80"/>
    </row>
    <row r="2" spans="1:12" s="5" customFormat="1" ht="37.5" customHeight="1" x14ac:dyDescent="0.25">
      <c r="A2" s="8"/>
      <c r="B2" s="50" t="s">
        <v>821</v>
      </c>
      <c r="L2" s="211"/>
    </row>
    <row r="3" spans="1:12" s="187" customFormat="1" ht="27.75" customHeight="1" x14ac:dyDescent="0.25">
      <c r="A3" s="1"/>
      <c r="B3" s="258"/>
      <c r="C3" s="258" t="s">
        <v>822</v>
      </c>
      <c r="D3" s="258" t="s">
        <v>823</v>
      </c>
      <c r="E3" s="258" t="s">
        <v>824</v>
      </c>
      <c r="F3" s="258" t="s">
        <v>825</v>
      </c>
      <c r="G3" s="258" t="s">
        <v>826</v>
      </c>
      <c r="H3" s="258" t="s">
        <v>827</v>
      </c>
      <c r="I3" s="258" t="s">
        <v>828</v>
      </c>
      <c r="J3" s="258" t="s">
        <v>829</v>
      </c>
      <c r="K3" s="376" t="s">
        <v>830</v>
      </c>
      <c r="L3" s="258" t="s">
        <v>831</v>
      </c>
    </row>
    <row r="4" spans="1:12" ht="18.75" customHeight="1" x14ac:dyDescent="0.25">
      <c r="B4" s="44" t="s">
        <v>832</v>
      </c>
      <c r="C4" s="83">
        <v>617991000</v>
      </c>
      <c r="D4" s="83">
        <v>0</v>
      </c>
      <c r="E4" s="83">
        <v>256000</v>
      </c>
      <c r="F4" s="83">
        <v>265000</v>
      </c>
      <c r="G4" s="83">
        <v>441555</v>
      </c>
      <c r="H4" s="83">
        <v>437267</v>
      </c>
      <c r="I4" s="83">
        <v>440931</v>
      </c>
      <c r="J4" s="83">
        <v>282069</v>
      </c>
      <c r="K4" s="72">
        <f>SUM(C4:J4)</f>
        <v>620113822</v>
      </c>
      <c r="L4" s="525"/>
    </row>
    <row r="5" spans="1:12" ht="18.75" customHeight="1" x14ac:dyDescent="0.25">
      <c r="B5" s="44" t="s">
        <v>833</v>
      </c>
      <c r="C5" s="83">
        <v>513969000</v>
      </c>
      <c r="D5" s="68">
        <v>1200000</v>
      </c>
      <c r="E5" s="83">
        <v>237000</v>
      </c>
      <c r="F5" s="83">
        <v>215000</v>
      </c>
      <c r="G5" s="83">
        <v>390862</v>
      </c>
      <c r="H5" s="83">
        <v>387086</v>
      </c>
      <c r="I5" s="83">
        <v>370872</v>
      </c>
      <c r="J5" s="83">
        <v>237128</v>
      </c>
      <c r="K5" s="72">
        <f t="shared" ref="K5:K16" si="0">SUM(C5:J5)</f>
        <v>517006948</v>
      </c>
      <c r="L5" s="525"/>
    </row>
    <row r="6" spans="1:12" ht="18.75" customHeight="1" x14ac:dyDescent="0.25">
      <c r="B6" s="44" t="s">
        <v>834</v>
      </c>
      <c r="C6" s="83">
        <v>565512000</v>
      </c>
      <c r="D6" s="83">
        <v>1500000</v>
      </c>
      <c r="E6" s="83">
        <v>272000</v>
      </c>
      <c r="F6" s="83">
        <v>0</v>
      </c>
      <c r="G6" s="83">
        <v>432854</v>
      </c>
      <c r="H6" s="83">
        <v>427443</v>
      </c>
      <c r="I6" s="83">
        <v>371824</v>
      </c>
      <c r="J6" s="83">
        <v>234176</v>
      </c>
      <c r="K6" s="72">
        <f t="shared" si="0"/>
        <v>568750297</v>
      </c>
      <c r="L6" s="594"/>
    </row>
    <row r="7" spans="1:12" ht="18.75" customHeight="1" x14ac:dyDescent="0.25">
      <c r="B7" s="44" t="s">
        <v>835</v>
      </c>
      <c r="C7" s="83">
        <v>554611000</v>
      </c>
      <c r="D7" s="83">
        <v>1300000</v>
      </c>
      <c r="E7" s="83">
        <v>268000</v>
      </c>
      <c r="F7" s="83">
        <v>0</v>
      </c>
      <c r="G7" s="83">
        <v>420116</v>
      </c>
      <c r="H7" s="83">
        <v>414945</v>
      </c>
      <c r="I7" s="83">
        <v>348346</v>
      </c>
      <c r="J7" s="83">
        <v>227654</v>
      </c>
      <c r="K7" s="72">
        <f t="shared" si="0"/>
        <v>557590061</v>
      </c>
      <c r="L7" s="525"/>
    </row>
    <row r="8" spans="1:12" ht="18.75" customHeight="1" x14ac:dyDescent="0.25">
      <c r="B8" s="44" t="s">
        <v>836</v>
      </c>
      <c r="C8" s="83">
        <v>622325000</v>
      </c>
      <c r="D8" s="83">
        <v>1300000</v>
      </c>
      <c r="E8" s="83">
        <v>296000</v>
      </c>
      <c r="F8" s="83">
        <v>0</v>
      </c>
      <c r="G8" s="83">
        <v>432218</v>
      </c>
      <c r="H8" s="83">
        <v>425672</v>
      </c>
      <c r="I8" s="83">
        <v>387426</v>
      </c>
      <c r="J8" s="83">
        <v>244574</v>
      </c>
      <c r="K8" s="72">
        <f t="shared" si="0"/>
        <v>625410890</v>
      </c>
      <c r="L8" s="595"/>
    </row>
    <row r="9" spans="1:12" ht="18.75" customHeight="1" x14ac:dyDescent="0.25">
      <c r="B9" s="44" t="s">
        <v>837</v>
      </c>
      <c r="C9" s="83">
        <v>612517000</v>
      </c>
      <c r="D9" s="83">
        <v>1400000</v>
      </c>
      <c r="E9" s="83">
        <v>324000</v>
      </c>
      <c r="F9" s="83">
        <v>0</v>
      </c>
      <c r="G9" s="83">
        <v>416895</v>
      </c>
      <c r="H9" s="83">
        <v>409575</v>
      </c>
      <c r="I9" s="83">
        <v>391285</v>
      </c>
      <c r="J9" s="83">
        <v>251715</v>
      </c>
      <c r="K9" s="454">
        <f t="shared" si="0"/>
        <v>615710470</v>
      </c>
      <c r="L9" s="594"/>
    </row>
    <row r="10" spans="1:12" ht="18.75" customHeight="1" x14ac:dyDescent="0.25">
      <c r="B10" s="44" t="s">
        <v>838</v>
      </c>
      <c r="C10" s="83">
        <v>658676000</v>
      </c>
      <c r="D10" s="83">
        <v>0</v>
      </c>
      <c r="E10" s="83">
        <v>496000</v>
      </c>
      <c r="F10" s="83">
        <v>0</v>
      </c>
      <c r="G10" s="83">
        <v>441120</v>
      </c>
      <c r="H10" s="83">
        <v>428455</v>
      </c>
      <c r="I10" s="83">
        <v>389167</v>
      </c>
      <c r="J10" s="72">
        <v>247833</v>
      </c>
      <c r="K10" s="378">
        <f t="shared" si="0"/>
        <v>660678575</v>
      </c>
      <c r="L10" s="484" t="s">
        <v>839</v>
      </c>
    </row>
    <row r="11" spans="1:12" ht="18.75" customHeight="1" x14ac:dyDescent="0.25">
      <c r="B11" s="44" t="s">
        <v>840</v>
      </c>
      <c r="C11" s="83">
        <v>631133000</v>
      </c>
      <c r="D11" s="83">
        <v>1200000</v>
      </c>
      <c r="E11" s="83">
        <v>763000</v>
      </c>
      <c r="F11" s="83">
        <v>0</v>
      </c>
      <c r="G11" s="83">
        <v>433243</v>
      </c>
      <c r="H11" s="83">
        <v>423082</v>
      </c>
      <c r="I11" s="83">
        <v>365983</v>
      </c>
      <c r="J11" s="83">
        <v>234017</v>
      </c>
      <c r="K11" s="483">
        <f t="shared" si="0"/>
        <v>634552325</v>
      </c>
      <c r="L11" s="595"/>
    </row>
    <row r="12" spans="1:12" ht="18.75" customHeight="1" x14ac:dyDescent="0.25">
      <c r="B12" s="44" t="s">
        <v>841</v>
      </c>
      <c r="C12" s="83">
        <v>614751000</v>
      </c>
      <c r="D12" s="83">
        <v>600000</v>
      </c>
      <c r="E12" s="83">
        <v>866000</v>
      </c>
      <c r="F12" s="83">
        <v>0</v>
      </c>
      <c r="G12" s="83">
        <v>427086</v>
      </c>
      <c r="H12" s="83">
        <v>418172</v>
      </c>
      <c r="I12" s="83">
        <v>463530</v>
      </c>
      <c r="J12" s="83">
        <v>297470</v>
      </c>
      <c r="K12" s="72">
        <f t="shared" si="0"/>
        <v>617823258</v>
      </c>
      <c r="L12" s="525"/>
    </row>
    <row r="13" spans="1:12" ht="18.75" customHeight="1" x14ac:dyDescent="0.25">
      <c r="B13" s="44" t="s">
        <v>842</v>
      </c>
      <c r="C13" s="83">
        <v>626449000</v>
      </c>
      <c r="D13" s="68">
        <v>1200000</v>
      </c>
      <c r="E13" s="83">
        <v>851000</v>
      </c>
      <c r="F13" s="83">
        <v>0</v>
      </c>
      <c r="G13" s="83">
        <v>454551</v>
      </c>
      <c r="H13" s="83">
        <v>443153</v>
      </c>
      <c r="I13" s="83">
        <v>464983</v>
      </c>
      <c r="J13" s="83">
        <v>297017</v>
      </c>
      <c r="K13" s="72">
        <f t="shared" si="0"/>
        <v>630159704</v>
      </c>
      <c r="L13" s="525"/>
    </row>
    <row r="14" spans="1:12" ht="18.75" customHeight="1" x14ac:dyDescent="0.25">
      <c r="B14" s="44" t="s">
        <v>843</v>
      </c>
      <c r="C14" s="83">
        <v>499138000</v>
      </c>
      <c r="D14" s="83">
        <v>900000</v>
      </c>
      <c r="E14" s="83">
        <v>683000</v>
      </c>
      <c r="F14" s="83">
        <v>0</v>
      </c>
      <c r="G14" s="83">
        <v>439297</v>
      </c>
      <c r="H14" s="83">
        <v>429142</v>
      </c>
      <c r="I14" s="83">
        <v>383246</v>
      </c>
      <c r="J14" s="83">
        <v>244754</v>
      </c>
      <c r="K14" s="454">
        <f t="shared" si="0"/>
        <v>502217439</v>
      </c>
      <c r="L14" s="594"/>
    </row>
    <row r="15" spans="1:12" ht="18.75" customHeight="1" x14ac:dyDescent="0.25">
      <c r="B15" s="44" t="s">
        <v>844</v>
      </c>
      <c r="C15" s="83">
        <v>474260000</v>
      </c>
      <c r="D15" s="83">
        <v>2000000</v>
      </c>
      <c r="E15" s="83">
        <v>257000</v>
      </c>
      <c r="F15" s="83">
        <v>0</v>
      </c>
      <c r="G15" s="83">
        <v>454611</v>
      </c>
      <c r="H15" s="83">
        <v>433611</v>
      </c>
      <c r="I15" s="83">
        <v>392012</v>
      </c>
      <c r="J15" s="72">
        <v>250988</v>
      </c>
      <c r="K15" s="378">
        <f t="shared" si="0"/>
        <v>478048222</v>
      </c>
      <c r="L15" s="484" t="s">
        <v>845</v>
      </c>
    </row>
    <row r="16" spans="1:12" ht="18.75" customHeight="1" x14ac:dyDescent="0.25">
      <c r="B16" s="44"/>
      <c r="C16" s="83">
        <f>SUM(C4:C15)</f>
        <v>6991332000</v>
      </c>
      <c r="D16" s="83">
        <f t="shared" ref="D16:J16" si="1">SUM(D4:D15)</f>
        <v>12600000</v>
      </c>
      <c r="E16" s="83">
        <f t="shared" si="1"/>
        <v>5569000</v>
      </c>
      <c r="F16" s="83">
        <f t="shared" si="1"/>
        <v>480000</v>
      </c>
      <c r="G16" s="83">
        <f t="shared" si="1"/>
        <v>5184408</v>
      </c>
      <c r="H16" s="83">
        <f t="shared" si="1"/>
        <v>5077603</v>
      </c>
      <c r="I16" s="83">
        <f t="shared" si="1"/>
        <v>4769605</v>
      </c>
      <c r="J16" s="83">
        <f t="shared" si="1"/>
        <v>3049395</v>
      </c>
      <c r="K16" s="483">
        <f t="shared" si="0"/>
        <v>7028062011</v>
      </c>
      <c r="L16" s="595"/>
    </row>
    <row r="41" spans="2:2" ht="15" x14ac:dyDescent="0.25">
      <c r="B41" s="100" t="s">
        <v>846</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J55"/>
  <sheetViews>
    <sheetView showGridLines="0" zoomScale="125" zoomScaleNormal="125" zoomScalePageLayoutView="125" workbookViewId="0"/>
  </sheetViews>
  <sheetFormatPr defaultColWidth="10.85546875" defaultRowHeight="12.75" x14ac:dyDescent="0.25"/>
  <cols>
    <col min="1" max="1" width="2.7109375" style="1" customWidth="1"/>
    <col min="2" max="2" width="6.7109375" style="1" customWidth="1"/>
    <col min="3" max="3" width="39" style="1" customWidth="1"/>
    <col min="4" max="6" width="10.7109375" style="1" customWidth="1"/>
    <col min="7" max="7" width="2.7109375" style="1" customWidth="1"/>
    <col min="8" max="10" width="10.7109375" style="1" customWidth="1"/>
    <col min="11" max="16384" width="10.85546875" style="1"/>
  </cols>
  <sheetData>
    <row r="1" spans="2:10" s="9" customFormat="1" ht="9.75" customHeight="1" x14ac:dyDescent="0.25">
      <c r="B1" s="80"/>
    </row>
    <row r="2" spans="2:10" s="8" customFormat="1" ht="37.5" customHeight="1" x14ac:dyDescent="0.25">
      <c r="B2" s="19" t="s">
        <v>847</v>
      </c>
    </row>
    <row r="3" spans="2:10" ht="39.75" customHeight="1" x14ac:dyDescent="0.25">
      <c r="B3" s="712" t="s">
        <v>13</v>
      </c>
      <c r="C3" s="712" t="s">
        <v>55</v>
      </c>
      <c r="D3" s="258" t="s">
        <v>848</v>
      </c>
      <c r="E3" s="258" t="s">
        <v>849</v>
      </c>
      <c r="F3" s="258" t="s">
        <v>850</v>
      </c>
      <c r="G3" s="258"/>
      <c r="H3" s="258" t="s">
        <v>851</v>
      </c>
      <c r="I3" s="258" t="s">
        <v>852</v>
      </c>
      <c r="J3" s="258" t="s">
        <v>853</v>
      </c>
    </row>
    <row r="4" spans="2:10" ht="18.75" customHeight="1" x14ac:dyDescent="0.25">
      <c r="B4" s="62">
        <v>1</v>
      </c>
      <c r="C4" s="70" t="s">
        <v>854</v>
      </c>
      <c r="D4" s="84"/>
      <c r="E4" s="84"/>
      <c r="F4" s="84"/>
      <c r="G4" s="83"/>
      <c r="H4" s="83">
        <v>7103162</v>
      </c>
      <c r="I4" s="83">
        <v>6707867</v>
      </c>
      <c r="J4" s="83">
        <v>6880086</v>
      </c>
    </row>
    <row r="5" spans="2:10" ht="18.75" customHeight="1" x14ac:dyDescent="0.25">
      <c r="B5" s="62">
        <f>B4+1</f>
        <v>2</v>
      </c>
      <c r="C5" s="70"/>
      <c r="D5" s="70"/>
      <c r="E5" s="83"/>
      <c r="F5" s="83"/>
      <c r="G5" s="83"/>
      <c r="H5" s="83"/>
      <c r="I5" s="83" t="s">
        <v>12</v>
      </c>
      <c r="J5" s="83"/>
    </row>
    <row r="6" spans="2:10" ht="18.75" customHeight="1" x14ac:dyDescent="0.25">
      <c r="B6" s="62">
        <f t="shared" ref="B6:B37" si="0">B5+1</f>
        <v>3</v>
      </c>
      <c r="C6" s="70" t="s">
        <v>855</v>
      </c>
      <c r="D6" s="70"/>
      <c r="E6" s="83"/>
      <c r="F6" s="83"/>
      <c r="G6" s="83"/>
      <c r="H6" s="83"/>
      <c r="I6" s="83"/>
      <c r="J6" s="83"/>
    </row>
    <row r="7" spans="2:10" ht="18.75" customHeight="1" x14ac:dyDescent="0.25">
      <c r="B7" s="62">
        <f t="shared" si="0"/>
        <v>4</v>
      </c>
      <c r="C7" s="70" t="s">
        <v>470</v>
      </c>
      <c r="D7" s="83">
        <v>61835</v>
      </c>
      <c r="E7" s="83">
        <v>61231</v>
      </c>
      <c r="F7" s="83">
        <v>60350</v>
      </c>
      <c r="G7" s="83"/>
      <c r="H7" s="83">
        <v>2875800</v>
      </c>
      <c r="I7" s="83">
        <v>2859856.5</v>
      </c>
      <c r="J7" s="83">
        <v>2903454</v>
      </c>
    </row>
    <row r="8" spans="2:10" ht="18.75" customHeight="1" x14ac:dyDescent="0.25">
      <c r="B8" s="62">
        <f t="shared" si="0"/>
        <v>5</v>
      </c>
      <c r="C8" s="70" t="s">
        <v>471</v>
      </c>
      <c r="D8" s="83">
        <v>4280</v>
      </c>
      <c r="E8" s="83">
        <v>4263</v>
      </c>
      <c r="F8" s="83">
        <v>4253</v>
      </c>
      <c r="G8" s="83"/>
      <c r="H8" s="83">
        <v>1497438</v>
      </c>
      <c r="I8" s="83">
        <v>1535228.8</v>
      </c>
      <c r="J8" s="83">
        <v>1657341</v>
      </c>
    </row>
    <row r="9" spans="2:10" ht="18.75" customHeight="1" x14ac:dyDescent="0.25">
      <c r="B9" s="62">
        <f t="shared" si="0"/>
        <v>6</v>
      </c>
      <c r="C9" s="70" t="s">
        <v>472</v>
      </c>
      <c r="D9" s="83">
        <v>299</v>
      </c>
      <c r="E9" s="83">
        <v>304</v>
      </c>
      <c r="F9" s="83">
        <v>301</v>
      </c>
      <c r="G9" s="83"/>
      <c r="H9" s="83">
        <v>947300</v>
      </c>
      <c r="I9" s="83">
        <v>907933.8</v>
      </c>
      <c r="J9" s="83">
        <v>935557</v>
      </c>
    </row>
    <row r="10" spans="2:10" ht="18.75" customHeight="1" x14ac:dyDescent="0.25">
      <c r="B10" s="62">
        <f t="shared" si="0"/>
        <v>7</v>
      </c>
      <c r="C10" s="70" t="s">
        <v>456</v>
      </c>
      <c r="D10" s="83">
        <v>255</v>
      </c>
      <c r="E10" s="83">
        <v>251</v>
      </c>
      <c r="F10" s="83">
        <v>253</v>
      </c>
      <c r="G10" s="83"/>
      <c r="H10" s="83">
        <v>152765</v>
      </c>
      <c r="I10" s="83">
        <v>154474.20000000001</v>
      </c>
      <c r="J10" s="83">
        <v>161293</v>
      </c>
    </row>
    <row r="11" spans="2:10" ht="18.75" customHeight="1" x14ac:dyDescent="0.25">
      <c r="B11" s="62">
        <f t="shared" si="0"/>
        <v>8</v>
      </c>
      <c r="C11" s="70" t="s">
        <v>473</v>
      </c>
      <c r="D11" s="83"/>
      <c r="E11" s="83"/>
      <c r="F11" s="83"/>
      <c r="G11" s="83"/>
    </row>
    <row r="12" spans="2:10" ht="18.75" customHeight="1" x14ac:dyDescent="0.25">
      <c r="B12" s="62">
        <f t="shared" si="0"/>
        <v>9</v>
      </c>
      <c r="C12" s="70" t="s">
        <v>312</v>
      </c>
      <c r="D12" s="83"/>
      <c r="E12" s="83"/>
      <c r="F12" s="83"/>
      <c r="G12" s="83"/>
      <c r="H12" s="83"/>
      <c r="I12" s="83"/>
      <c r="J12" s="83"/>
    </row>
    <row r="13" spans="2:10" ht="18.75" customHeight="1" x14ac:dyDescent="0.25">
      <c r="B13" s="62">
        <f t="shared" si="0"/>
        <v>10</v>
      </c>
      <c r="C13" s="70" t="s">
        <v>856</v>
      </c>
      <c r="D13" s="83">
        <v>1073</v>
      </c>
      <c r="E13" s="83">
        <v>1061</v>
      </c>
      <c r="F13" s="83">
        <v>1054</v>
      </c>
      <c r="G13" s="83"/>
      <c r="H13" s="83">
        <v>7242</v>
      </c>
      <c r="I13" s="83">
        <v>14090.4</v>
      </c>
      <c r="J13" s="83">
        <v>12934</v>
      </c>
    </row>
    <row r="14" spans="2:10" ht="18.75" customHeight="1" x14ac:dyDescent="0.25">
      <c r="B14" s="62">
        <f t="shared" si="0"/>
        <v>11</v>
      </c>
      <c r="C14" s="70" t="s">
        <v>857</v>
      </c>
      <c r="D14" s="83">
        <v>223</v>
      </c>
      <c r="E14" s="83">
        <v>205</v>
      </c>
      <c r="F14" s="83">
        <v>193</v>
      </c>
      <c r="G14" s="83"/>
      <c r="H14" s="83"/>
      <c r="I14" s="83"/>
      <c r="J14" s="83"/>
    </row>
    <row r="15" spans="2:10" ht="18.75" customHeight="1" x14ac:dyDescent="0.25">
      <c r="B15" s="62">
        <f t="shared" si="0"/>
        <v>12</v>
      </c>
      <c r="C15" s="70" t="s">
        <v>480</v>
      </c>
      <c r="D15" s="83">
        <v>4</v>
      </c>
      <c r="E15" s="83">
        <v>4</v>
      </c>
      <c r="F15" s="83">
        <v>4</v>
      </c>
      <c r="G15" s="83"/>
      <c r="H15" s="83">
        <v>208293</v>
      </c>
      <c r="I15" s="83">
        <v>212217.155</v>
      </c>
      <c r="J15" s="83">
        <v>234321</v>
      </c>
    </row>
    <row r="16" spans="2:10" ht="18.75" customHeight="1" x14ac:dyDescent="0.25">
      <c r="B16" s="62">
        <f t="shared" si="0"/>
        <v>13</v>
      </c>
      <c r="C16" s="70" t="s">
        <v>858</v>
      </c>
      <c r="D16" s="83">
        <v>67969</v>
      </c>
      <c r="E16" s="83">
        <f>SUM(E7:E15)</f>
        <v>67319</v>
      </c>
      <c r="F16" s="83">
        <v>66408</v>
      </c>
      <c r="G16" s="83"/>
      <c r="H16" s="83"/>
      <c r="I16" s="83"/>
      <c r="J16" s="83"/>
    </row>
    <row r="17" spans="2:10" ht="18.75" customHeight="1" x14ac:dyDescent="0.25">
      <c r="B17" s="62">
        <f>B16+1</f>
        <v>14</v>
      </c>
      <c r="C17" s="70" t="s">
        <v>859</v>
      </c>
      <c r="D17" s="70"/>
      <c r="E17" s="83" t="s">
        <v>12</v>
      </c>
      <c r="F17" s="68"/>
      <c r="G17" s="68"/>
      <c r="H17" s="83">
        <f>SUM(H7:H16)</f>
        <v>5688838</v>
      </c>
      <c r="I17" s="83">
        <f>SUM(I7:I16)</f>
        <v>5683800.8550000004</v>
      </c>
      <c r="J17" s="83">
        <f>SUM(J7:J16)</f>
        <v>5904900</v>
      </c>
    </row>
    <row r="18" spans="2:10" ht="18.75" customHeight="1" x14ac:dyDescent="0.25">
      <c r="B18" s="62">
        <f>B17+1</f>
        <v>15</v>
      </c>
      <c r="C18" s="70"/>
      <c r="D18" s="70"/>
      <c r="E18" s="70"/>
      <c r="F18" s="70"/>
      <c r="G18" s="70"/>
      <c r="H18" s="70"/>
      <c r="I18" s="83"/>
      <c r="J18" s="83"/>
    </row>
    <row r="19" spans="2:10" ht="18.75" customHeight="1" x14ac:dyDescent="0.25">
      <c r="B19" s="62">
        <f t="shared" si="0"/>
        <v>16</v>
      </c>
      <c r="C19" s="70" t="s">
        <v>860</v>
      </c>
      <c r="D19" s="70"/>
      <c r="E19" s="70"/>
      <c r="F19" s="70"/>
      <c r="G19" s="70"/>
      <c r="H19" s="70"/>
      <c r="I19" s="83"/>
      <c r="J19" s="83"/>
    </row>
    <row r="20" spans="2:10" ht="18.75" customHeight="1" x14ac:dyDescent="0.25">
      <c r="B20" s="62">
        <f t="shared" si="0"/>
        <v>17</v>
      </c>
      <c r="C20" s="70" t="s">
        <v>861</v>
      </c>
      <c r="D20" s="84"/>
      <c r="E20" s="84"/>
      <c r="F20" s="84"/>
      <c r="G20" s="70"/>
      <c r="H20" s="83">
        <v>72413</v>
      </c>
      <c r="I20" s="83">
        <v>36517.273000000001</v>
      </c>
      <c r="J20" s="83">
        <v>80868</v>
      </c>
    </row>
    <row r="21" spans="2:10" ht="18.75" customHeight="1" x14ac:dyDescent="0.25">
      <c r="B21" s="62">
        <f t="shared" si="0"/>
        <v>18</v>
      </c>
      <c r="C21" s="70" t="s">
        <v>862</v>
      </c>
      <c r="D21" s="84"/>
      <c r="E21" s="84"/>
      <c r="F21" s="84"/>
      <c r="G21" s="70"/>
      <c r="H21" s="83">
        <v>71698</v>
      </c>
      <c r="I21" s="83">
        <v>39495.713000000003</v>
      </c>
      <c r="J21" s="83">
        <v>3766</v>
      </c>
    </row>
    <row r="22" spans="2:10" ht="18.75" customHeight="1" x14ac:dyDescent="0.25">
      <c r="B22" s="62">
        <f t="shared" si="0"/>
        <v>19</v>
      </c>
      <c r="C22" s="70" t="s">
        <v>863</v>
      </c>
      <c r="D22" s="84"/>
      <c r="E22" s="84"/>
      <c r="F22" s="84"/>
      <c r="H22" s="83">
        <v>51848</v>
      </c>
      <c r="I22" s="83">
        <v>38786.334999999999</v>
      </c>
      <c r="J22" s="83">
        <v>44277</v>
      </c>
    </row>
    <row r="23" spans="2:10" ht="18.75" customHeight="1" x14ac:dyDescent="0.25">
      <c r="B23" s="62">
        <f t="shared" si="0"/>
        <v>20</v>
      </c>
      <c r="C23" s="70" t="s">
        <v>864</v>
      </c>
      <c r="D23" s="84"/>
      <c r="E23" s="84"/>
      <c r="F23" s="84"/>
      <c r="G23" s="70"/>
      <c r="H23" s="70"/>
      <c r="I23" s="83"/>
      <c r="J23" s="83"/>
    </row>
    <row r="24" spans="2:10" ht="18.75" customHeight="1" x14ac:dyDescent="0.25">
      <c r="B24" s="62">
        <f t="shared" si="0"/>
        <v>21</v>
      </c>
      <c r="C24" s="70" t="s">
        <v>865</v>
      </c>
      <c r="D24" s="84"/>
      <c r="E24" s="84"/>
      <c r="F24" s="84"/>
      <c r="G24" s="70"/>
      <c r="H24" s="70"/>
      <c r="I24" s="83"/>
      <c r="J24" s="83"/>
    </row>
    <row r="25" spans="2:10" ht="18.75" customHeight="1" x14ac:dyDescent="0.25">
      <c r="B25" s="62">
        <f t="shared" si="0"/>
        <v>22</v>
      </c>
      <c r="C25" s="70" t="s">
        <v>58</v>
      </c>
      <c r="D25" s="84"/>
      <c r="E25" s="84"/>
      <c r="F25" s="84"/>
      <c r="G25" s="70"/>
      <c r="H25" s="70"/>
      <c r="I25" s="83"/>
      <c r="J25" s="83"/>
    </row>
    <row r="26" spans="2:10" ht="18.75" customHeight="1" x14ac:dyDescent="0.25">
      <c r="B26" s="62">
        <f t="shared" si="0"/>
        <v>23</v>
      </c>
      <c r="C26" s="70" t="s">
        <v>866</v>
      </c>
      <c r="D26" s="84"/>
      <c r="E26" s="84"/>
      <c r="F26" s="84"/>
      <c r="G26" s="70"/>
      <c r="H26" s="83">
        <v>6335</v>
      </c>
      <c r="I26" s="83">
        <v>10036.5</v>
      </c>
      <c r="J26" s="83">
        <v>6524</v>
      </c>
    </row>
    <row r="27" spans="2:10" ht="18.75" customHeight="1" x14ac:dyDescent="0.25">
      <c r="B27" s="62">
        <f t="shared" si="0"/>
        <v>24</v>
      </c>
      <c r="C27" s="70"/>
      <c r="D27" s="84"/>
      <c r="E27" s="84"/>
      <c r="F27" s="84"/>
      <c r="G27" s="70"/>
      <c r="H27" s="70"/>
      <c r="I27" s="83"/>
      <c r="J27" s="83"/>
    </row>
    <row r="28" spans="2:10" ht="18.75" customHeight="1" x14ac:dyDescent="0.25">
      <c r="B28" s="62">
        <f t="shared" si="0"/>
        <v>25</v>
      </c>
      <c r="C28" s="70" t="s">
        <v>867</v>
      </c>
      <c r="D28" s="84"/>
      <c r="E28" s="84"/>
      <c r="F28" s="84"/>
      <c r="G28" s="70"/>
      <c r="H28" s="83">
        <f>SUM(H20:H26)</f>
        <v>202294</v>
      </c>
      <c r="I28" s="83">
        <f>SUM(I20:I26)</f>
        <v>124835.821</v>
      </c>
      <c r="J28" s="83">
        <f>SUM(J20:J26)</f>
        <v>135435</v>
      </c>
    </row>
    <row r="29" spans="2:10" ht="18.75" customHeight="1" x14ac:dyDescent="0.25">
      <c r="B29" s="62">
        <f t="shared" si="0"/>
        <v>26</v>
      </c>
      <c r="C29" s="70"/>
      <c r="D29" s="84"/>
      <c r="E29" s="84"/>
      <c r="F29" s="84"/>
      <c r="G29" s="70"/>
      <c r="H29" s="84"/>
      <c r="I29" s="84"/>
      <c r="J29" s="84"/>
    </row>
    <row r="30" spans="2:10" ht="18.75" customHeight="1" x14ac:dyDescent="0.25">
      <c r="B30" s="62">
        <f t="shared" si="0"/>
        <v>27</v>
      </c>
      <c r="C30" s="70" t="s">
        <v>868</v>
      </c>
      <c r="D30" s="84"/>
      <c r="E30" s="84"/>
      <c r="F30" s="84"/>
      <c r="G30" s="70"/>
      <c r="H30" s="492"/>
      <c r="I30" s="84"/>
      <c r="J30" s="84"/>
    </row>
    <row r="31" spans="2:10" ht="18.75" customHeight="1" x14ac:dyDescent="0.25">
      <c r="B31" s="62">
        <f t="shared" si="0"/>
        <v>28</v>
      </c>
      <c r="C31" s="70" t="s">
        <v>869</v>
      </c>
      <c r="D31" s="84"/>
      <c r="E31" s="84"/>
      <c r="F31" s="84"/>
      <c r="G31" s="490"/>
      <c r="H31" s="147">
        <f>(H4-(H36+H28))/H4</f>
        <v>0.17063245917803929</v>
      </c>
      <c r="I31" s="491">
        <f>(I4-(I17+I28))/I4</f>
        <v>0.13405607535152367</v>
      </c>
      <c r="J31" s="147">
        <f>(J4-(J36+J28))/J4</f>
        <v>0.12205530570402753</v>
      </c>
    </row>
    <row r="32" spans="2:10" ht="18.75" customHeight="1" x14ac:dyDescent="0.25">
      <c r="B32" s="62">
        <f t="shared" si="0"/>
        <v>29</v>
      </c>
      <c r="C32" s="70"/>
      <c r="D32" s="84"/>
      <c r="E32" s="84"/>
      <c r="F32" s="84"/>
      <c r="G32" s="70"/>
      <c r="H32" s="493"/>
      <c r="I32" s="84"/>
      <c r="J32" s="84"/>
    </row>
    <row r="33" spans="2:10" ht="18.75" customHeight="1" x14ac:dyDescent="0.25">
      <c r="B33" s="62">
        <f t="shared" si="0"/>
        <v>30</v>
      </c>
      <c r="C33" s="70" t="s">
        <v>870</v>
      </c>
      <c r="D33" s="83">
        <f>D16</f>
        <v>67969</v>
      </c>
      <c r="E33" s="83">
        <f>E16</f>
        <v>67319</v>
      </c>
      <c r="F33" s="83">
        <f>F16</f>
        <v>66408</v>
      </c>
      <c r="G33" s="83"/>
      <c r="H33" s="84"/>
      <c r="I33" s="84"/>
      <c r="J33" s="84"/>
    </row>
    <row r="34" spans="2:10" ht="18.75" customHeight="1" x14ac:dyDescent="0.25">
      <c r="B34" s="62">
        <f t="shared" si="0"/>
        <v>31</v>
      </c>
      <c r="C34" s="70" t="s">
        <v>871</v>
      </c>
      <c r="D34" s="76">
        <f>(D33-E33)/E33</f>
        <v>9.6555207296602739E-3</v>
      </c>
      <c r="E34" s="76">
        <f>(E33-F33)/F33</f>
        <v>1.3718226719672329E-2</v>
      </c>
      <c r="F34" s="84"/>
      <c r="G34" s="70"/>
      <c r="H34" s="84"/>
      <c r="I34" s="84"/>
      <c r="J34" s="84"/>
    </row>
    <row r="35" spans="2:10" ht="18.75" customHeight="1" x14ac:dyDescent="0.25">
      <c r="B35" s="62">
        <f>B34+1</f>
        <v>32</v>
      </c>
      <c r="C35" s="68"/>
      <c r="D35" s="84"/>
      <c r="E35" s="84"/>
      <c r="F35" s="84"/>
      <c r="G35" s="70"/>
      <c r="H35" s="84"/>
      <c r="I35" s="84"/>
      <c r="J35" s="84"/>
    </row>
    <row r="36" spans="2:10" ht="18.75" customHeight="1" x14ac:dyDescent="0.25">
      <c r="B36" s="62">
        <f t="shared" si="0"/>
        <v>33</v>
      </c>
      <c r="C36" s="70" t="s">
        <v>872</v>
      </c>
      <c r="D36" s="84"/>
      <c r="E36" s="84"/>
      <c r="F36" s="84"/>
      <c r="G36" s="70"/>
      <c r="H36" s="83">
        <f>H17</f>
        <v>5688838</v>
      </c>
      <c r="I36" s="83">
        <f>I17</f>
        <v>5683800.8550000004</v>
      </c>
      <c r="J36" s="83">
        <v>5904900</v>
      </c>
    </row>
    <row r="37" spans="2:10" ht="18.75" customHeight="1" x14ac:dyDescent="0.25">
      <c r="B37" s="62">
        <f t="shared" si="0"/>
        <v>34</v>
      </c>
      <c r="C37" s="70" t="s">
        <v>871</v>
      </c>
      <c r="D37" s="84"/>
      <c r="E37" s="84"/>
      <c r="F37" s="84"/>
      <c r="G37" s="70"/>
      <c r="H37" s="76">
        <f>(H36-I36)/I36</f>
        <v>8.8622827021963852E-4</v>
      </c>
      <c r="I37" s="76">
        <f>(I36-J36)/J36</f>
        <v>-3.7443334349438528E-2</v>
      </c>
      <c r="J37" s="84"/>
    </row>
    <row r="38" spans="2:10" ht="18.75" customHeight="1" x14ac:dyDescent="0.25">
      <c r="B38" s="34"/>
      <c r="C38" s="82"/>
      <c r="D38" s="82"/>
      <c r="E38" s="82"/>
      <c r="F38" s="82"/>
      <c r="G38" s="82"/>
      <c r="H38" s="82"/>
      <c r="I38" s="75"/>
    </row>
    <row r="39" spans="2:10" ht="18.75" customHeight="1" x14ac:dyDescent="0.25">
      <c r="B39" s="1" t="s">
        <v>873</v>
      </c>
    </row>
    <row r="40" spans="2:10" ht="18.75" customHeight="1" x14ac:dyDescent="0.25"/>
    <row r="41" spans="2:10" ht="18.75" customHeight="1" x14ac:dyDescent="0.25"/>
    <row r="42" spans="2:10" ht="18.75" customHeight="1" x14ac:dyDescent="0.25"/>
    <row r="43" spans="2:10" ht="18.75" customHeight="1" x14ac:dyDescent="0.25"/>
    <row r="44" spans="2:10" ht="18.75" customHeight="1" x14ac:dyDescent="0.25"/>
    <row r="45" spans="2:10" ht="18.75" customHeight="1" x14ac:dyDescent="0.25"/>
    <row r="46" spans="2:10" ht="18.75" customHeight="1" x14ac:dyDescent="0.25"/>
    <row r="47" spans="2:10" ht="18.75" customHeight="1" x14ac:dyDescent="0.25"/>
    <row r="48" spans="2:10" ht="18.75" customHeight="1" x14ac:dyDescent="0.25"/>
    <row r="49" ht="18.75" customHeight="1" x14ac:dyDescent="0.25"/>
    <row r="50" ht="18.75" customHeight="1" x14ac:dyDescent="0.25"/>
    <row r="51" ht="18.75" customHeight="1" x14ac:dyDescent="0.25"/>
    <row r="52" ht="18.75" customHeight="1" x14ac:dyDescent="0.25"/>
    <row r="53" ht="18.75" customHeight="1" x14ac:dyDescent="0.25"/>
    <row r="54" ht="18.75" customHeight="1" x14ac:dyDescent="0.25"/>
    <row r="55" ht="18.75" customHeight="1" x14ac:dyDescent="0.25"/>
  </sheetData>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E441E-CE20-42B8-AD17-91A559CB0EE7}">
  <sheetPr>
    <tabColor rgb="FFF2F2F2"/>
  </sheetPr>
  <dimension ref="A1:S43"/>
  <sheetViews>
    <sheetView showGridLines="0" topLeftCell="A2" workbookViewId="0">
      <selection activeCell="D9" sqref="D9"/>
    </sheetView>
  </sheetViews>
  <sheetFormatPr defaultColWidth="8.85546875" defaultRowHeight="15" x14ac:dyDescent="0.25"/>
  <cols>
    <col min="1" max="1" width="2.7109375" style="1" customWidth="1"/>
    <col min="2" max="2" width="6.7109375" style="1" customWidth="1"/>
    <col min="3" max="3" width="28.42578125" customWidth="1"/>
    <col min="4" max="6" width="12.85546875" customWidth="1"/>
    <col min="7" max="19" width="10.7109375" customWidth="1"/>
  </cols>
  <sheetData>
    <row r="1" spans="1:19" s="9" customFormat="1" ht="9.75" customHeight="1" x14ac:dyDescent="0.25">
      <c r="B1" s="80"/>
    </row>
    <row r="2" spans="1:19" ht="37.5" customHeight="1" x14ac:dyDescent="0.25">
      <c r="A2" s="8"/>
      <c r="B2" s="19" t="s">
        <v>874</v>
      </c>
      <c r="C2" s="13"/>
      <c r="D2" s="13"/>
      <c r="E2" s="13"/>
      <c r="F2" s="13"/>
      <c r="G2" s="13"/>
    </row>
    <row r="3" spans="1:19" s="531" customFormat="1" ht="18.75" customHeight="1" x14ac:dyDescent="0.2">
      <c r="A3" s="1"/>
      <c r="B3" s="712" t="s">
        <v>13</v>
      </c>
      <c r="C3" s="712" t="s">
        <v>55</v>
      </c>
      <c r="D3" s="712">
        <v>2022</v>
      </c>
      <c r="E3" s="712">
        <v>2021</v>
      </c>
      <c r="F3" s="712">
        <v>2020</v>
      </c>
      <c r="G3" s="712">
        <v>2019</v>
      </c>
      <c r="H3" s="712">
        <v>2018</v>
      </c>
      <c r="I3" s="709">
        <v>2017</v>
      </c>
      <c r="J3" s="712">
        <v>2016</v>
      </c>
      <c r="K3" s="712">
        <v>2015</v>
      </c>
      <c r="L3" s="712">
        <v>2014</v>
      </c>
      <c r="M3" s="712">
        <v>2013</v>
      </c>
      <c r="N3" s="712">
        <v>2012</v>
      </c>
      <c r="O3" s="712">
        <v>2011</v>
      </c>
      <c r="P3" s="712">
        <v>2010</v>
      </c>
      <c r="Q3" s="712">
        <v>2009</v>
      </c>
      <c r="R3" s="712">
        <v>2008</v>
      </c>
      <c r="S3" s="712">
        <v>2007</v>
      </c>
    </row>
    <row r="4" spans="1:19" s="532" customFormat="1" ht="18.75" customHeight="1" x14ac:dyDescent="0.2">
      <c r="A4" s="138"/>
      <c r="B4" s="56"/>
      <c r="C4" s="56" t="s">
        <v>875</v>
      </c>
      <c r="D4" s="756"/>
      <c r="E4" s="756"/>
      <c r="F4" s="756"/>
      <c r="G4" s="56"/>
      <c r="H4" s="56"/>
      <c r="I4" s="470"/>
      <c r="J4" s="56"/>
      <c r="K4" s="56"/>
      <c r="L4" s="56"/>
      <c r="M4" s="56"/>
      <c r="N4" s="56"/>
      <c r="O4" s="56"/>
      <c r="P4" s="56"/>
      <c r="Q4" s="56"/>
      <c r="R4" s="56"/>
      <c r="S4" s="56"/>
    </row>
    <row r="5" spans="1:19" s="531" customFormat="1" ht="18.75" customHeight="1" x14ac:dyDescent="0.2">
      <c r="A5" s="1"/>
      <c r="B5" s="62">
        <v>1</v>
      </c>
      <c r="C5" s="480" t="s">
        <v>876</v>
      </c>
      <c r="D5" s="753">
        <v>7707000000</v>
      </c>
      <c r="E5" s="753">
        <v>7417000000</v>
      </c>
      <c r="F5" s="113">
        <f>'32-Usage trends'!F24*365/1000</f>
        <v>7296000.426</v>
      </c>
      <c r="G5" s="754">
        <f>'32-Usage trends'!G24*365/1000</f>
        <v>7357390.085</v>
      </c>
      <c r="H5" s="113">
        <v>7103162</v>
      </c>
      <c r="I5" s="113">
        <v>6707867</v>
      </c>
      <c r="J5" s="113">
        <v>6880086</v>
      </c>
      <c r="K5" s="113">
        <f>SUM(K6:K8)</f>
        <v>6754849</v>
      </c>
      <c r="L5" s="113">
        <v>6689395</v>
      </c>
      <c r="M5" s="113">
        <v>6969477</v>
      </c>
      <c r="N5" s="113">
        <v>6790549</v>
      </c>
      <c r="O5" s="113">
        <f>SUM(O6:O8)</f>
        <v>6739557</v>
      </c>
      <c r="P5" s="113">
        <v>6889199</v>
      </c>
      <c r="Q5" s="113">
        <f>SUM(Q6:Q8)</f>
        <v>6655163</v>
      </c>
      <c r="R5" s="113">
        <v>6697170</v>
      </c>
      <c r="S5" s="113">
        <v>6956000</v>
      </c>
    </row>
    <row r="6" spans="1:19" s="13" customFormat="1" ht="18.75" customHeight="1" x14ac:dyDescent="0.2">
      <c r="A6" s="1"/>
      <c r="B6" s="62">
        <f>B5+1</f>
        <v>2</v>
      </c>
      <c r="C6" s="480" t="s">
        <v>877</v>
      </c>
      <c r="D6" s="753">
        <v>5947655951</v>
      </c>
      <c r="E6" s="753">
        <v>5855423604</v>
      </c>
      <c r="F6" s="466">
        <f>'32-Usage trends'!F19*365/1000</f>
        <v>5664211.9850000003</v>
      </c>
      <c r="G6" s="755">
        <f>'32-Usage trends'!G19*365/1000</f>
        <v>5717609.2949999999</v>
      </c>
      <c r="H6" s="476">
        <v>5688838</v>
      </c>
      <c r="I6" s="477">
        <v>5683800.8550000004</v>
      </c>
      <c r="J6" s="476">
        <v>5904900</v>
      </c>
      <c r="K6" s="476">
        <v>5820316</v>
      </c>
      <c r="L6" s="476">
        <v>5802565</v>
      </c>
      <c r="M6" s="476">
        <v>5760160</v>
      </c>
      <c r="N6" s="476">
        <v>5795850</v>
      </c>
      <c r="O6" s="476">
        <v>5860366</v>
      </c>
      <c r="P6" s="476">
        <v>5939594</v>
      </c>
      <c r="Q6" s="476">
        <v>5891255</v>
      </c>
      <c r="R6" s="476">
        <v>6287367</v>
      </c>
      <c r="S6" s="476">
        <v>6219300</v>
      </c>
    </row>
    <row r="7" spans="1:19" s="13" customFormat="1" ht="18.75" customHeight="1" x14ac:dyDescent="0.2">
      <c r="A7" s="1"/>
      <c r="B7" s="62">
        <f>B6+1</f>
        <v>3</v>
      </c>
      <c r="C7" s="480" t="s">
        <v>878</v>
      </c>
      <c r="D7" s="753">
        <v>383247705</v>
      </c>
      <c r="E7" s="753">
        <v>476998426</v>
      </c>
      <c r="F7" s="466">
        <f>'32-Usage trends'!F21*365/1000</f>
        <v>545949.48</v>
      </c>
      <c r="G7" s="755">
        <f>'32-Usage trends'!G21*365/1000</f>
        <v>570635.89</v>
      </c>
      <c r="H7" s="476">
        <v>202296</v>
      </c>
      <c r="I7" s="477">
        <v>124836</v>
      </c>
      <c r="J7" s="476">
        <v>135435</v>
      </c>
      <c r="K7" s="476">
        <v>134657</v>
      </c>
      <c r="L7" s="476">
        <v>112555</v>
      </c>
      <c r="M7" s="476">
        <v>100919</v>
      </c>
      <c r="N7" s="476">
        <v>96839</v>
      </c>
      <c r="O7" s="476">
        <v>109700</v>
      </c>
      <c r="P7" s="476">
        <v>105687</v>
      </c>
      <c r="Q7" s="476">
        <v>64349</v>
      </c>
      <c r="R7" s="476">
        <v>0</v>
      </c>
      <c r="S7" s="476">
        <v>194800</v>
      </c>
    </row>
    <row r="8" spans="1:19" s="13" customFormat="1" ht="18.75" customHeight="1" x14ac:dyDescent="0.2">
      <c r="A8" s="1"/>
      <c r="B8" s="62">
        <f t="shared" ref="B8:B41" si="0">B7+1</f>
        <v>4</v>
      </c>
      <c r="C8" s="480" t="s">
        <v>879</v>
      </c>
      <c r="D8" s="753">
        <v>1376096344</v>
      </c>
      <c r="E8" s="753">
        <v>1084577970</v>
      </c>
      <c r="F8" s="466">
        <f>'32-Usage trends'!F22*365/1000</f>
        <v>1085838.9609999999</v>
      </c>
      <c r="G8" s="755">
        <f>'32-Usage trends'!G22*365/1000</f>
        <v>1069144.8999999999</v>
      </c>
      <c r="H8" s="476">
        <v>1212028</v>
      </c>
      <c r="I8" s="478">
        <v>899230</v>
      </c>
      <c r="J8" s="479">
        <f>839751</f>
        <v>839751</v>
      </c>
      <c r="K8" s="479">
        <v>799876</v>
      </c>
      <c r="L8" s="479">
        <v>774276</v>
      </c>
      <c r="M8" s="479">
        <v>1108397</v>
      </c>
      <c r="N8" s="479">
        <v>897860</v>
      </c>
      <c r="O8" s="479">
        <v>769491</v>
      </c>
      <c r="P8" s="479">
        <v>843918</v>
      </c>
      <c r="Q8" s="479">
        <v>699559</v>
      </c>
      <c r="R8" s="479">
        <v>408803</v>
      </c>
      <c r="S8" s="479">
        <v>541900</v>
      </c>
    </row>
    <row r="9" spans="1:19" s="13" customFormat="1" ht="18.75" customHeight="1" x14ac:dyDescent="0.2">
      <c r="A9" s="1"/>
      <c r="B9" s="62">
        <f t="shared" si="0"/>
        <v>5</v>
      </c>
      <c r="C9" s="388"/>
      <c r="D9" s="667"/>
      <c r="E9" s="667"/>
      <c r="F9" s="667"/>
      <c r="G9" s="388"/>
      <c r="H9" s="466"/>
      <c r="I9" s="466"/>
      <c r="J9" s="466"/>
      <c r="K9" s="466"/>
      <c r="L9" s="466"/>
      <c r="M9" s="466"/>
      <c r="N9" s="466"/>
      <c r="O9" s="466"/>
      <c r="P9" s="466"/>
      <c r="Q9" s="466"/>
      <c r="R9" s="466"/>
      <c r="S9" s="466"/>
    </row>
    <row r="10" spans="1:19" s="13" customFormat="1" ht="18.75" customHeight="1" x14ac:dyDescent="0.2">
      <c r="A10" s="1"/>
      <c r="B10" s="62">
        <f t="shared" si="0"/>
        <v>6</v>
      </c>
      <c r="C10" s="757" t="s">
        <v>875</v>
      </c>
      <c r="D10" s="757">
        <v>2022</v>
      </c>
      <c r="E10" s="757">
        <v>2021</v>
      </c>
      <c r="F10" s="758">
        <v>2020</v>
      </c>
      <c r="G10" s="758">
        <v>2019</v>
      </c>
      <c r="H10" s="758">
        <v>2018</v>
      </c>
      <c r="I10" s="687">
        <v>2017</v>
      </c>
      <c r="J10" s="688">
        <v>2016</v>
      </c>
      <c r="K10" s="688">
        <v>2015</v>
      </c>
      <c r="L10" s="688">
        <v>2014</v>
      </c>
      <c r="M10" s="688">
        <v>2013</v>
      </c>
      <c r="N10" s="688">
        <v>2012</v>
      </c>
      <c r="O10" s="688">
        <v>2011</v>
      </c>
      <c r="P10" s="688">
        <v>2010</v>
      </c>
      <c r="Q10" s="688">
        <v>2009</v>
      </c>
      <c r="R10" s="688">
        <v>2008</v>
      </c>
      <c r="S10" s="688">
        <v>2007</v>
      </c>
    </row>
    <row r="11" spans="1:19" s="13" customFormat="1" ht="18.75" customHeight="1" x14ac:dyDescent="0.2">
      <c r="A11" s="1"/>
      <c r="B11" s="134">
        <f t="shared" si="0"/>
        <v>7</v>
      </c>
      <c r="C11" s="388" t="s">
        <v>880</v>
      </c>
      <c r="D11" s="467">
        <f>D6/D5</f>
        <v>0.77172128597379008</v>
      </c>
      <c r="E11" s="467">
        <f>E6/E5</f>
        <v>0.78945983605231229</v>
      </c>
      <c r="F11" s="467">
        <f>F6/F5</f>
        <v>0.77634479910596432</v>
      </c>
      <c r="G11" s="467">
        <f>G6/G5</f>
        <v>0.77712466362995625</v>
      </c>
      <c r="H11" s="467">
        <f>H6/H5</f>
        <v>0.80088811151991179</v>
      </c>
      <c r="I11" s="471">
        <f t="shared" ref="I11:S11" si="1">I6/I5</f>
        <v>0.84733356445498997</v>
      </c>
      <c r="J11" s="469">
        <f t="shared" si="1"/>
        <v>0.85825962059195193</v>
      </c>
      <c r="K11" s="469">
        <f t="shared" si="1"/>
        <v>0.86165005316921217</v>
      </c>
      <c r="L11" s="469">
        <f t="shared" si="1"/>
        <v>0.86742747288805644</v>
      </c>
      <c r="M11" s="469">
        <f t="shared" si="1"/>
        <v>0.82648382367859163</v>
      </c>
      <c r="N11" s="469">
        <f t="shared" si="1"/>
        <v>0.8535171456681927</v>
      </c>
      <c r="O11" s="469">
        <f t="shared" si="1"/>
        <v>0.86954765721248439</v>
      </c>
      <c r="P11" s="469">
        <f t="shared" si="1"/>
        <v>0.86216031791214043</v>
      </c>
      <c r="Q11" s="469">
        <f t="shared" si="1"/>
        <v>0.88521573400982068</v>
      </c>
      <c r="R11" s="469">
        <f t="shared" si="1"/>
        <v>0.93880952700916953</v>
      </c>
      <c r="S11" s="469">
        <f t="shared" si="1"/>
        <v>0.89409143185738926</v>
      </c>
    </row>
    <row r="12" spans="1:19" s="13" customFormat="1" ht="18.75" customHeight="1" x14ac:dyDescent="0.2">
      <c r="A12" s="1"/>
      <c r="B12" s="134">
        <f t="shared" si="0"/>
        <v>8</v>
      </c>
      <c r="C12" s="388" t="s">
        <v>881</v>
      </c>
      <c r="D12" s="467">
        <f>D7/D5</f>
        <v>4.9727222654729467E-2</v>
      </c>
      <c r="E12" s="467">
        <f>E7/E5</f>
        <v>6.4311504112174733E-2</v>
      </c>
      <c r="F12" s="467">
        <f>F7/F5</f>
        <v>7.482859760458023E-2</v>
      </c>
      <c r="G12" s="467">
        <f>G7/G5</f>
        <v>7.7559553511155177E-2</v>
      </c>
      <c r="H12" s="467">
        <f>H7/H5</f>
        <v>2.8479710866794253E-2</v>
      </c>
      <c r="I12" s="471">
        <f t="shared" ref="I12:S12" si="2">I7/I5</f>
        <v>1.8610386878571087E-2</v>
      </c>
      <c r="J12" s="469">
        <f t="shared" si="2"/>
        <v>1.9685073704020561E-2</v>
      </c>
      <c r="K12" s="469">
        <f t="shared" si="2"/>
        <v>1.993486456914137E-2</v>
      </c>
      <c r="L12" s="469">
        <f t="shared" si="2"/>
        <v>1.6825886346971589E-2</v>
      </c>
      <c r="M12" s="469">
        <f t="shared" si="2"/>
        <v>1.4480139614493312E-2</v>
      </c>
      <c r="N12" s="469">
        <f t="shared" si="2"/>
        <v>1.426084989593625E-2</v>
      </c>
      <c r="O12" s="469">
        <f t="shared" si="2"/>
        <v>1.6277034232368686E-2</v>
      </c>
      <c r="P12" s="469">
        <f t="shared" si="2"/>
        <v>1.5340970699206105E-2</v>
      </c>
      <c r="Q12" s="469">
        <f t="shared" si="2"/>
        <v>9.6690344023129104E-3</v>
      </c>
      <c r="R12" s="469" t="s">
        <v>12</v>
      </c>
      <c r="S12" s="469">
        <f t="shared" si="2"/>
        <v>2.8004600345025877E-2</v>
      </c>
    </row>
    <row r="13" spans="1:19" s="13" customFormat="1" ht="18.75" customHeight="1" x14ac:dyDescent="0.2">
      <c r="A13" s="1"/>
      <c r="B13" s="134">
        <f t="shared" si="0"/>
        <v>9</v>
      </c>
      <c r="C13" s="388" t="s">
        <v>882</v>
      </c>
      <c r="D13" s="467">
        <f>D8/D5</f>
        <v>0.17855149137148046</v>
      </c>
      <c r="E13" s="467">
        <f>E8/E5</f>
        <v>0.146228659835513</v>
      </c>
      <c r="F13" s="467">
        <f>F8/F5</f>
        <v>0.14882660328945543</v>
      </c>
      <c r="G13" s="467">
        <f t="shared" ref="G13" si="3">G8/G5</f>
        <v>0.1453157828588886</v>
      </c>
      <c r="H13" s="467">
        <f t="shared" ref="H13:S13" si="4">H8/H5</f>
        <v>0.17063217761329391</v>
      </c>
      <c r="I13" s="472">
        <f t="shared" si="4"/>
        <v>0.13405602705002947</v>
      </c>
      <c r="J13" s="467">
        <f t="shared" si="4"/>
        <v>0.12205530570402753</v>
      </c>
      <c r="K13" s="467">
        <f t="shared" si="4"/>
        <v>0.11841508226164642</v>
      </c>
      <c r="L13" s="467">
        <f t="shared" si="4"/>
        <v>0.11574679025532204</v>
      </c>
      <c r="M13" s="467">
        <f t="shared" si="4"/>
        <v>0.1590358932241257</v>
      </c>
      <c r="N13" s="467">
        <f t="shared" si="4"/>
        <v>0.13222200443587109</v>
      </c>
      <c r="O13" s="467">
        <f t="shared" si="4"/>
        <v>0.11417530855514688</v>
      </c>
      <c r="P13" s="467">
        <f t="shared" si="4"/>
        <v>0.12249871138865345</v>
      </c>
      <c r="Q13" s="467">
        <f t="shared" si="4"/>
        <v>0.10511523158786644</v>
      </c>
      <c r="R13" s="467">
        <f t="shared" si="4"/>
        <v>6.1041156189853327E-2</v>
      </c>
      <c r="S13" s="467">
        <f t="shared" si="4"/>
        <v>7.7903967797584822E-2</v>
      </c>
    </row>
    <row r="14" spans="1:19" s="531" customFormat="1" ht="18.75" customHeight="1" x14ac:dyDescent="0.2">
      <c r="A14" s="1"/>
      <c r="B14" s="62">
        <f t="shared" si="0"/>
        <v>10</v>
      </c>
      <c r="C14" s="759"/>
      <c r="D14" s="759"/>
      <c r="E14" s="759"/>
      <c r="F14" s="759"/>
      <c r="G14" s="759"/>
      <c r="H14" s="760"/>
      <c r="I14" s="533"/>
      <c r="J14" s="533"/>
      <c r="K14" s="533"/>
      <c r="L14" s="533"/>
      <c r="M14" s="533"/>
      <c r="N14" s="533"/>
      <c r="O14" s="533"/>
      <c r="P14" s="533"/>
      <c r="Q14" s="533"/>
      <c r="R14" s="533"/>
      <c r="S14" s="533"/>
    </row>
    <row r="15" spans="1:19" s="531" customFormat="1" ht="18.75" customHeight="1" x14ac:dyDescent="0.2">
      <c r="A15" s="1"/>
      <c r="B15" s="62">
        <f t="shared" si="0"/>
        <v>11</v>
      </c>
      <c r="C15" s="487" t="s">
        <v>883</v>
      </c>
      <c r="D15" s="487"/>
      <c r="E15" s="487"/>
      <c r="F15" s="715"/>
      <c r="G15" s="715"/>
      <c r="H15" s="468"/>
      <c r="I15" s="473"/>
      <c r="J15" s="534"/>
      <c r="K15" s="473"/>
      <c r="L15" s="473"/>
      <c r="M15" s="473"/>
      <c r="N15" s="473"/>
      <c r="O15" s="473"/>
      <c r="P15" s="473"/>
      <c r="Q15" s="473"/>
      <c r="R15" s="473"/>
      <c r="S15" s="473"/>
    </row>
    <row r="16" spans="1:19" s="531" customFormat="1" ht="18.75" customHeight="1" x14ac:dyDescent="0.2">
      <c r="A16" s="1"/>
      <c r="B16" s="62">
        <f t="shared" si="0"/>
        <v>12</v>
      </c>
      <c r="C16" s="480" t="s">
        <v>876</v>
      </c>
      <c r="D16" s="480"/>
      <c r="E16" s="480"/>
      <c r="F16" s="685"/>
      <c r="G16" s="685"/>
      <c r="H16" s="466">
        <f>SUM(H17:H18)</f>
        <v>42277778</v>
      </c>
      <c r="I16" s="473"/>
      <c r="J16" s="534"/>
      <c r="K16" s="473"/>
      <c r="L16" s="473"/>
      <c r="M16" s="473"/>
      <c r="N16" s="473"/>
      <c r="O16" s="473"/>
      <c r="P16" s="473"/>
      <c r="Q16" s="473"/>
      <c r="R16" s="473"/>
      <c r="S16" s="473"/>
    </row>
    <row r="17" spans="1:19" s="531" customFormat="1" ht="18.75" customHeight="1" x14ac:dyDescent="0.2">
      <c r="A17" s="1"/>
      <c r="B17" s="62">
        <f t="shared" si="0"/>
        <v>13</v>
      </c>
      <c r="C17" s="480" t="s">
        <v>877</v>
      </c>
      <c r="D17" s="480"/>
      <c r="E17" s="480"/>
      <c r="F17" s="685"/>
      <c r="G17" s="685"/>
      <c r="H17" s="466">
        <v>33422835</v>
      </c>
      <c r="I17" s="473"/>
      <c r="J17" s="534"/>
      <c r="K17" s="473"/>
      <c r="L17" s="473"/>
      <c r="M17" s="473"/>
      <c r="N17" s="473"/>
      <c r="O17" s="473"/>
      <c r="P17" s="473"/>
      <c r="Q17" s="473"/>
      <c r="R17" s="473"/>
      <c r="S17" s="473"/>
    </row>
    <row r="18" spans="1:19" s="531" customFormat="1" ht="18.75" customHeight="1" x14ac:dyDescent="0.2">
      <c r="A18" s="1"/>
      <c r="B18" s="62">
        <f t="shared" si="0"/>
        <v>14</v>
      </c>
      <c r="C18" s="480" t="s">
        <v>879</v>
      </c>
      <c r="D18" s="480"/>
      <c r="E18" s="480"/>
      <c r="F18" s="685"/>
      <c r="G18" s="685"/>
      <c r="H18" s="466">
        <v>8854943</v>
      </c>
      <c r="I18" s="473"/>
      <c r="J18" s="534"/>
      <c r="K18" s="473"/>
      <c r="L18" s="473"/>
      <c r="M18" s="473"/>
      <c r="N18" s="473"/>
      <c r="O18" s="473"/>
      <c r="P18" s="473"/>
      <c r="Q18" s="473"/>
      <c r="R18" s="473"/>
      <c r="S18" s="473"/>
    </row>
    <row r="19" spans="1:19" s="531" customFormat="1" ht="18.75" customHeight="1" x14ac:dyDescent="0.2">
      <c r="A19" s="1"/>
      <c r="B19" s="62">
        <f t="shared" si="0"/>
        <v>15</v>
      </c>
      <c r="F19" s="532"/>
      <c r="G19" s="532"/>
      <c r="H19" s="466" t="s">
        <v>12</v>
      </c>
      <c r="I19" s="473"/>
      <c r="J19" s="534"/>
      <c r="K19" s="473"/>
      <c r="L19" s="473"/>
      <c r="M19" s="473"/>
      <c r="N19" s="473"/>
      <c r="O19" s="473"/>
      <c r="P19" s="473"/>
      <c r="Q19" s="473"/>
      <c r="R19" s="473"/>
      <c r="S19" s="473"/>
    </row>
    <row r="20" spans="1:19" s="531" customFormat="1" ht="18.75" customHeight="1" x14ac:dyDescent="0.2">
      <c r="A20" s="1"/>
      <c r="B20" s="62">
        <f t="shared" si="0"/>
        <v>16</v>
      </c>
      <c r="C20" s="480" t="s">
        <v>880</v>
      </c>
      <c r="D20" s="480"/>
      <c r="E20" s="480"/>
      <c r="F20" s="685"/>
      <c r="G20" s="685"/>
      <c r="H20" s="467">
        <f>H17/H16</f>
        <v>0.79055325471456894</v>
      </c>
      <c r="I20" s="473"/>
      <c r="J20" s="534"/>
      <c r="K20" s="473"/>
      <c r="L20" s="473"/>
      <c r="M20" s="473"/>
      <c r="N20" s="473"/>
      <c r="O20" s="473"/>
      <c r="P20" s="473"/>
      <c r="Q20" s="473"/>
      <c r="R20" s="473"/>
      <c r="S20" s="473"/>
    </row>
    <row r="21" spans="1:19" s="13" customFormat="1" ht="18.75" customHeight="1" x14ac:dyDescent="0.2">
      <c r="A21" s="1"/>
      <c r="B21" s="62">
        <f t="shared" si="0"/>
        <v>17</v>
      </c>
      <c r="C21" s="480" t="s">
        <v>882</v>
      </c>
      <c r="D21" s="480"/>
      <c r="E21" s="480"/>
      <c r="F21" s="685"/>
      <c r="G21" s="685"/>
      <c r="H21" s="467">
        <f>H18/H16</f>
        <v>0.20944674528543103</v>
      </c>
      <c r="I21" s="473"/>
      <c r="J21" s="534"/>
      <c r="K21" s="473"/>
      <c r="L21" s="473"/>
      <c r="M21" s="473"/>
      <c r="N21" s="473"/>
      <c r="O21" s="473"/>
      <c r="P21" s="473"/>
      <c r="Q21" s="473"/>
      <c r="R21" s="473"/>
      <c r="S21" s="473"/>
    </row>
    <row r="22" spans="1:19" s="13" customFormat="1" ht="18.75" customHeight="1" x14ac:dyDescent="0.2">
      <c r="A22" s="1"/>
      <c r="B22" s="62">
        <f t="shared" si="0"/>
        <v>18</v>
      </c>
      <c r="C22" s="489"/>
      <c r="D22" s="489"/>
      <c r="E22" s="489"/>
      <c r="F22" s="718"/>
      <c r="G22" s="718"/>
      <c r="H22" s="469"/>
      <c r="I22" s="473"/>
      <c r="J22" s="534"/>
      <c r="K22" s="473"/>
      <c r="L22" s="473"/>
      <c r="M22" s="473"/>
      <c r="N22" s="473"/>
      <c r="O22" s="473"/>
      <c r="P22" s="473"/>
      <c r="Q22" s="473"/>
      <c r="R22" s="473"/>
      <c r="S22" s="473"/>
    </row>
    <row r="23" spans="1:19" s="13" customFormat="1" ht="18.75" customHeight="1" x14ac:dyDescent="0.2">
      <c r="A23" s="1"/>
      <c r="B23" s="62">
        <f t="shared" si="0"/>
        <v>19</v>
      </c>
      <c r="C23" s="488" t="s">
        <v>884</v>
      </c>
      <c r="D23" s="488"/>
      <c r="E23" s="488"/>
      <c r="F23" s="716"/>
      <c r="G23" s="716"/>
      <c r="H23" s="467"/>
      <c r="I23" s="473"/>
      <c r="J23" s="534"/>
      <c r="K23" s="473"/>
      <c r="L23" s="473"/>
      <c r="M23" s="473"/>
      <c r="N23" s="473"/>
      <c r="O23" s="473"/>
      <c r="P23" s="473"/>
      <c r="Q23" s="473"/>
      <c r="R23" s="473"/>
      <c r="S23" s="473"/>
    </row>
    <row r="24" spans="1:19" s="13" customFormat="1" ht="18.75" customHeight="1" x14ac:dyDescent="0.2">
      <c r="A24" s="1"/>
      <c r="B24" s="62">
        <f t="shared" si="0"/>
        <v>20</v>
      </c>
      <c r="C24" s="388" t="s">
        <v>876</v>
      </c>
      <c r="D24" s="388"/>
      <c r="E24" s="388"/>
      <c r="F24" s="686"/>
      <c r="G24" s="686"/>
      <c r="H24" s="466">
        <f>SUM(H25:H27)</f>
        <v>70145478</v>
      </c>
      <c r="I24" s="473"/>
      <c r="J24" s="534"/>
      <c r="K24" s="473"/>
      <c r="L24" s="473"/>
      <c r="M24" s="473"/>
      <c r="N24" s="473"/>
      <c r="O24" s="473"/>
      <c r="P24" s="473"/>
      <c r="Q24" s="473"/>
      <c r="R24" s="473"/>
      <c r="S24" s="473"/>
    </row>
    <row r="25" spans="1:19" s="13" customFormat="1" ht="18.75" customHeight="1" x14ac:dyDescent="0.2">
      <c r="A25" s="1"/>
      <c r="B25" s="62">
        <f t="shared" si="0"/>
        <v>21</v>
      </c>
      <c r="C25" s="388" t="s">
        <v>877</v>
      </c>
      <c r="D25" s="388"/>
      <c r="E25" s="388"/>
      <c r="F25" s="686"/>
      <c r="G25" s="686"/>
      <c r="H25" s="466">
        <v>45662776</v>
      </c>
      <c r="I25" s="473"/>
      <c r="J25" s="534"/>
      <c r="K25" s="473"/>
      <c r="L25" s="473"/>
      <c r="M25" s="473"/>
      <c r="N25" s="473"/>
      <c r="O25" s="473"/>
      <c r="P25" s="473"/>
      <c r="Q25" s="473"/>
      <c r="R25" s="473"/>
      <c r="S25" s="473"/>
    </row>
    <row r="26" spans="1:19" s="13" customFormat="1" ht="18.75" customHeight="1" x14ac:dyDescent="0.2">
      <c r="A26" s="1"/>
      <c r="B26" s="62">
        <f t="shared" si="0"/>
        <v>22</v>
      </c>
      <c r="C26" s="388" t="s">
        <v>878</v>
      </c>
      <c r="D26" s="388"/>
      <c r="E26" s="388"/>
      <c r="F26" s="686"/>
      <c r="G26" s="686"/>
      <c r="H26" s="466">
        <v>12611089</v>
      </c>
      <c r="I26" s="474"/>
      <c r="J26" s="474"/>
      <c r="K26" s="474"/>
      <c r="L26" s="474"/>
      <c r="M26" s="474"/>
      <c r="N26" s="474"/>
      <c r="O26" s="474"/>
      <c r="P26" s="474"/>
      <c r="Q26" s="474"/>
      <c r="R26" s="474"/>
      <c r="S26" s="474"/>
    </row>
    <row r="27" spans="1:19" s="531" customFormat="1" ht="18.75" customHeight="1" x14ac:dyDescent="0.2">
      <c r="A27" s="1"/>
      <c r="B27" s="62">
        <f t="shared" si="0"/>
        <v>23</v>
      </c>
      <c r="C27" s="388" t="s">
        <v>879</v>
      </c>
      <c r="D27" s="388"/>
      <c r="E27" s="388"/>
      <c r="F27" s="686"/>
      <c r="G27" s="686"/>
      <c r="H27" s="466">
        <v>11871613</v>
      </c>
      <c r="I27" s="474"/>
      <c r="J27" s="474"/>
      <c r="K27" s="474"/>
      <c r="L27" s="474"/>
      <c r="M27" s="474"/>
      <c r="N27" s="474"/>
      <c r="O27" s="474"/>
      <c r="P27" s="474"/>
      <c r="Q27" s="474"/>
      <c r="R27" s="474"/>
      <c r="S27" s="474"/>
    </row>
    <row r="28" spans="1:19" s="531" customFormat="1" ht="18.75" customHeight="1" x14ac:dyDescent="0.2">
      <c r="A28" s="1"/>
      <c r="B28" s="62">
        <f t="shared" si="0"/>
        <v>24</v>
      </c>
      <c r="C28" s="388"/>
      <c r="D28" s="388"/>
      <c r="E28" s="388"/>
      <c r="F28" s="717"/>
      <c r="G28" s="717"/>
      <c r="H28" s="392"/>
      <c r="I28" s="474"/>
      <c r="J28" s="474"/>
      <c r="K28" s="474"/>
      <c r="L28" s="474"/>
      <c r="M28" s="474"/>
      <c r="N28" s="474"/>
      <c r="O28" s="474"/>
      <c r="P28" s="474"/>
      <c r="Q28" s="474"/>
      <c r="R28" s="474"/>
      <c r="S28" s="474"/>
    </row>
    <row r="29" spans="1:19" s="531" customFormat="1" ht="18.75" customHeight="1" x14ac:dyDescent="0.2">
      <c r="A29" s="1"/>
      <c r="B29" s="62">
        <f t="shared" si="0"/>
        <v>25</v>
      </c>
      <c r="C29" s="388" t="s">
        <v>880</v>
      </c>
      <c r="D29" s="388"/>
      <c r="E29" s="388"/>
      <c r="F29" s="686"/>
      <c r="G29" s="686"/>
      <c r="H29" s="467">
        <f>H25/H24</f>
        <v>0.65097248321552537</v>
      </c>
      <c r="I29" s="474"/>
      <c r="J29" s="474"/>
      <c r="K29" s="474"/>
      <c r="L29" s="474"/>
      <c r="M29" s="474"/>
      <c r="N29" s="474"/>
      <c r="O29" s="474"/>
      <c r="P29" s="474"/>
      <c r="Q29" s="474"/>
      <c r="R29" s="474"/>
      <c r="S29" s="474"/>
    </row>
    <row r="30" spans="1:19" s="531" customFormat="1" ht="18.75" customHeight="1" x14ac:dyDescent="0.2">
      <c r="A30" s="1"/>
      <c r="B30" s="62">
        <f t="shared" si="0"/>
        <v>26</v>
      </c>
      <c r="C30" s="388" t="s">
        <v>881</v>
      </c>
      <c r="D30" s="388"/>
      <c r="E30" s="388"/>
      <c r="F30" s="686"/>
      <c r="G30" s="686"/>
      <c r="H30" s="467">
        <f>H26/H24</f>
        <v>0.17978477529228612</v>
      </c>
      <c r="I30" s="474"/>
      <c r="J30" s="474"/>
      <c r="K30" s="474"/>
      <c r="L30" s="474"/>
      <c r="M30" s="474"/>
      <c r="N30" s="474"/>
      <c r="O30" s="474"/>
      <c r="P30" s="474"/>
      <c r="Q30" s="474"/>
      <c r="R30" s="474"/>
      <c r="S30" s="474"/>
    </row>
    <row r="31" spans="1:19" s="531" customFormat="1" ht="18.75" customHeight="1" x14ac:dyDescent="0.2">
      <c r="A31" s="1"/>
      <c r="B31" s="62">
        <f t="shared" si="0"/>
        <v>27</v>
      </c>
      <c r="C31" s="388" t="s">
        <v>882</v>
      </c>
      <c r="D31" s="388"/>
      <c r="E31" s="388"/>
      <c r="F31" s="686"/>
      <c r="G31" s="686"/>
      <c r="H31" s="467">
        <f>H27/H24</f>
        <v>0.16924274149218857</v>
      </c>
      <c r="I31" s="474"/>
      <c r="J31" s="474"/>
      <c r="K31" s="474"/>
      <c r="L31" s="475"/>
      <c r="M31" s="474"/>
      <c r="N31" s="474"/>
      <c r="O31" s="474"/>
      <c r="P31" s="474"/>
      <c r="Q31" s="474"/>
      <c r="R31" s="474"/>
      <c r="S31" s="474"/>
    </row>
    <row r="32" spans="1:19" s="531" customFormat="1" ht="18.75" customHeight="1" x14ac:dyDescent="0.2">
      <c r="A32" s="1"/>
      <c r="B32" s="62">
        <f t="shared" si="0"/>
        <v>28</v>
      </c>
      <c r="C32" s="388"/>
      <c r="D32" s="388"/>
      <c r="E32" s="388"/>
      <c r="F32" s="717"/>
      <c r="G32" s="717"/>
      <c r="H32" s="467"/>
      <c r="I32" s="474"/>
      <c r="J32" s="474"/>
      <c r="K32" s="474"/>
      <c r="L32" s="475"/>
      <c r="M32" s="474"/>
      <c r="N32" s="474"/>
      <c r="O32" s="474"/>
      <c r="P32" s="474"/>
      <c r="Q32" s="474"/>
      <c r="R32" s="474"/>
      <c r="S32" s="474"/>
    </row>
    <row r="33" spans="1:19" s="531" customFormat="1" ht="18.75" customHeight="1" x14ac:dyDescent="0.2">
      <c r="A33" s="1"/>
      <c r="B33" s="62">
        <f t="shared" si="0"/>
        <v>29</v>
      </c>
      <c r="C33" s="488" t="s">
        <v>885</v>
      </c>
      <c r="D33" s="488"/>
      <c r="E33" s="488"/>
      <c r="F33" s="716"/>
      <c r="G33" s="716"/>
      <c r="H33" s="468"/>
      <c r="I33" s="474"/>
      <c r="J33" s="474"/>
      <c r="K33" s="474"/>
      <c r="L33" s="475"/>
      <c r="M33" s="474"/>
      <c r="N33" s="474"/>
      <c r="O33" s="474"/>
      <c r="P33" s="474"/>
      <c r="Q33" s="474"/>
      <c r="R33" s="474"/>
      <c r="S33" s="474"/>
    </row>
    <row r="34" spans="1:19" s="531" customFormat="1" ht="18.75" customHeight="1" x14ac:dyDescent="0.2">
      <c r="A34" s="1"/>
      <c r="B34" s="62">
        <f t="shared" si="0"/>
        <v>30</v>
      </c>
      <c r="C34" s="388" t="s">
        <v>876</v>
      </c>
      <c r="D34" s="388"/>
      <c r="E34" s="388"/>
      <c r="F34" s="686"/>
      <c r="G34" s="686"/>
      <c r="H34" s="466">
        <v>2972600</v>
      </c>
      <c r="I34" s="474"/>
      <c r="J34" s="474"/>
      <c r="K34" s="474"/>
      <c r="L34" s="475"/>
      <c r="M34" s="474"/>
      <c r="N34" s="474"/>
      <c r="O34" s="474"/>
      <c r="P34" s="474"/>
      <c r="Q34" s="474"/>
      <c r="R34" s="474"/>
      <c r="S34" s="474"/>
    </row>
    <row r="35" spans="1:19" s="531" customFormat="1" ht="18.75" customHeight="1" x14ac:dyDescent="0.2">
      <c r="A35" s="1"/>
      <c r="B35" s="62">
        <f t="shared" si="0"/>
        <v>31</v>
      </c>
      <c r="C35" s="388" t="s">
        <v>877</v>
      </c>
      <c r="D35" s="388"/>
      <c r="E35" s="388"/>
      <c r="F35" s="686"/>
      <c r="G35" s="686"/>
      <c r="H35" s="466">
        <v>2152000</v>
      </c>
      <c r="I35" s="474"/>
      <c r="J35" s="474"/>
      <c r="K35" s="474"/>
      <c r="L35" s="475"/>
      <c r="M35" s="474"/>
      <c r="N35" s="474"/>
      <c r="O35" s="474"/>
      <c r="P35" s="474"/>
      <c r="Q35" s="474"/>
      <c r="R35" s="474"/>
      <c r="S35" s="474"/>
    </row>
    <row r="36" spans="1:19" s="531" customFormat="1" ht="18.75" customHeight="1" x14ac:dyDescent="0.2">
      <c r="A36" s="1"/>
      <c r="B36" s="62">
        <f t="shared" si="0"/>
        <v>32</v>
      </c>
      <c r="C36" s="388" t="s">
        <v>878</v>
      </c>
      <c r="D36" s="388"/>
      <c r="E36" s="388"/>
      <c r="F36" s="686"/>
      <c r="G36" s="686"/>
      <c r="H36" s="466">
        <v>469090</v>
      </c>
      <c r="I36" s="474"/>
      <c r="J36" s="474"/>
      <c r="K36" s="474"/>
      <c r="L36" s="475"/>
      <c r="M36" s="474"/>
      <c r="N36" s="474"/>
      <c r="O36" s="474"/>
      <c r="P36" s="474"/>
      <c r="Q36" s="474"/>
      <c r="R36" s="474"/>
      <c r="S36" s="474"/>
    </row>
    <row r="37" spans="1:19" s="531" customFormat="1" ht="18.75" customHeight="1" x14ac:dyDescent="0.2">
      <c r="A37" s="1"/>
      <c r="B37" s="62">
        <f t="shared" si="0"/>
        <v>33</v>
      </c>
      <c r="C37" s="388" t="s">
        <v>879</v>
      </c>
      <c r="D37" s="388"/>
      <c r="E37" s="388"/>
      <c r="F37" s="686"/>
      <c r="G37" s="686"/>
      <c r="H37" s="466">
        <v>351510</v>
      </c>
      <c r="I37" s="474"/>
      <c r="J37" s="474"/>
      <c r="K37" s="474"/>
      <c r="L37" s="475"/>
      <c r="M37" s="474"/>
      <c r="N37" s="474"/>
      <c r="O37" s="474"/>
      <c r="P37" s="474"/>
      <c r="Q37" s="474"/>
      <c r="R37" s="474"/>
      <c r="S37" s="474"/>
    </row>
    <row r="38" spans="1:19" s="531" customFormat="1" ht="18.75" customHeight="1" x14ac:dyDescent="0.2">
      <c r="A38" s="1"/>
      <c r="B38" s="62">
        <f t="shared" si="0"/>
        <v>34</v>
      </c>
      <c r="C38" s="388"/>
      <c r="D38" s="388"/>
      <c r="E38" s="388"/>
      <c r="F38" s="717"/>
      <c r="G38" s="717"/>
      <c r="H38" s="392"/>
      <c r="I38" s="474"/>
      <c r="J38" s="474"/>
      <c r="K38" s="474"/>
      <c r="L38" s="475"/>
      <c r="M38" s="474"/>
      <c r="N38" s="474"/>
      <c r="O38" s="474"/>
      <c r="P38" s="474"/>
      <c r="Q38" s="474"/>
      <c r="R38" s="474"/>
      <c r="S38" s="474"/>
    </row>
    <row r="39" spans="1:19" s="531" customFormat="1" ht="18.75" customHeight="1" x14ac:dyDescent="0.2">
      <c r="A39" s="1"/>
      <c r="B39" s="62">
        <f t="shared" si="0"/>
        <v>35</v>
      </c>
      <c r="C39" s="388" t="s">
        <v>880</v>
      </c>
      <c r="D39" s="388"/>
      <c r="E39" s="388"/>
      <c r="F39" s="686"/>
      <c r="G39" s="686"/>
      <c r="H39" s="467">
        <f>H35/H34</f>
        <v>0.72394536769158313</v>
      </c>
      <c r="I39" s="474"/>
      <c r="J39" s="474"/>
      <c r="K39" s="474"/>
      <c r="L39" s="475"/>
      <c r="M39" s="474"/>
      <c r="N39" s="474"/>
      <c r="O39" s="474"/>
      <c r="P39" s="474"/>
      <c r="Q39" s="474"/>
      <c r="R39" s="474"/>
      <c r="S39" s="474"/>
    </row>
    <row r="40" spans="1:19" s="531" customFormat="1" ht="18.75" customHeight="1" x14ac:dyDescent="0.2">
      <c r="A40" s="1"/>
      <c r="B40" s="62">
        <f t="shared" si="0"/>
        <v>36</v>
      </c>
      <c r="C40" s="388" t="s">
        <v>881</v>
      </c>
      <c r="D40" s="388"/>
      <c r="E40" s="388"/>
      <c r="F40" s="686"/>
      <c r="G40" s="686"/>
      <c r="H40" s="467">
        <f>H36/H34</f>
        <v>0.15780461548812488</v>
      </c>
      <c r="I40" s="474"/>
      <c r="J40" s="474"/>
      <c r="K40" s="474"/>
      <c r="L40" s="475"/>
      <c r="M40" s="474"/>
      <c r="N40" s="474"/>
      <c r="O40" s="474"/>
      <c r="P40" s="474"/>
      <c r="Q40" s="474"/>
      <c r="R40" s="474"/>
      <c r="S40" s="474"/>
    </row>
    <row r="41" spans="1:19" s="531" customFormat="1" ht="18.75" customHeight="1" x14ac:dyDescent="0.2">
      <c r="A41" s="1"/>
      <c r="B41" s="62">
        <f t="shared" si="0"/>
        <v>37</v>
      </c>
      <c r="C41" s="388" t="s">
        <v>882</v>
      </c>
      <c r="D41" s="388"/>
      <c r="E41" s="388"/>
      <c r="F41" s="686"/>
      <c r="G41" s="686"/>
      <c r="H41" s="467">
        <f>H37/H34</f>
        <v>0.118250016820292</v>
      </c>
      <c r="I41" s="474"/>
      <c r="J41" s="474"/>
      <c r="K41" s="474"/>
      <c r="L41" s="475"/>
      <c r="M41" s="474"/>
      <c r="N41" s="474"/>
      <c r="O41" s="474"/>
      <c r="P41" s="474"/>
      <c r="Q41" s="474"/>
      <c r="R41" s="474"/>
      <c r="S41" s="474"/>
    </row>
    <row r="43" spans="1:19" x14ac:dyDescent="0.25">
      <c r="B43" s="1" t="s">
        <v>886</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4CDE0-27B9-4B8D-AC47-D242D2FE4257}">
  <sheetPr>
    <tabColor rgb="FFF2F2F2"/>
  </sheetPr>
  <dimension ref="A1:P70"/>
  <sheetViews>
    <sheetView showGridLines="0" workbookViewId="0"/>
  </sheetViews>
  <sheetFormatPr defaultColWidth="9.140625" defaultRowHeight="15" x14ac:dyDescent="0.25"/>
  <cols>
    <col min="1" max="1" width="2.7109375" style="4" customWidth="1"/>
    <col min="3" max="3" width="28.140625" customWidth="1"/>
    <col min="4" max="10" width="11.7109375" customWidth="1"/>
    <col min="11" max="11" width="12.7109375" customWidth="1"/>
    <col min="12" max="12" width="19" customWidth="1"/>
  </cols>
  <sheetData>
    <row r="1" spans="1:16" s="9" customFormat="1" ht="9.75" customHeight="1" x14ac:dyDescent="0.25">
      <c r="B1" s="80"/>
    </row>
    <row r="2" spans="1:16" s="401" customFormat="1" ht="37.5" customHeight="1" x14ac:dyDescent="0.25">
      <c r="A2" s="59"/>
      <c r="B2" s="50" t="s">
        <v>887</v>
      </c>
    </row>
    <row r="3" spans="1:16" s="535" customFormat="1" ht="18.75" customHeight="1" x14ac:dyDescent="0.2">
      <c r="A3" s="398"/>
      <c r="B3" s="258" t="s">
        <v>13</v>
      </c>
      <c r="C3" s="399" t="s">
        <v>55</v>
      </c>
      <c r="D3" s="400" t="s">
        <v>470</v>
      </c>
      <c r="E3" s="400" t="s">
        <v>471</v>
      </c>
      <c r="F3" s="400" t="s">
        <v>472</v>
      </c>
      <c r="G3" s="433" t="s">
        <v>856</v>
      </c>
      <c r="H3" s="433" t="s">
        <v>857</v>
      </c>
      <c r="I3" s="400" t="s">
        <v>456</v>
      </c>
      <c r="J3" s="433" t="s">
        <v>888</v>
      </c>
      <c r="K3" s="433" t="s">
        <v>830</v>
      </c>
    </row>
    <row r="4" spans="1:16" s="535" customFormat="1" ht="18.75" customHeight="1" x14ac:dyDescent="0.2">
      <c r="A4" s="398"/>
      <c r="B4" s="56">
        <v>1</v>
      </c>
      <c r="C4" s="66" t="s">
        <v>889</v>
      </c>
      <c r="D4" s="494">
        <f>'28-Deliveries'!D7</f>
        <v>61835</v>
      </c>
      <c r="E4" s="494">
        <f>'28-Deliveries'!D8</f>
        <v>4280</v>
      </c>
      <c r="F4" s="494">
        <f>'28-Deliveries'!D9</f>
        <v>299</v>
      </c>
      <c r="G4" s="495">
        <f>'28-Deliveries'!D13</f>
        <v>1073</v>
      </c>
      <c r="H4" s="495">
        <f>'28-Deliveries'!D14</f>
        <v>223</v>
      </c>
      <c r="I4" s="496">
        <f>'28-Deliveries'!D10</f>
        <v>255</v>
      </c>
      <c r="J4" s="497">
        <f>'28-Deliveries'!D15</f>
        <v>4</v>
      </c>
      <c r="K4" s="389">
        <f>SUM(D4:J4)</f>
        <v>67969</v>
      </c>
    </row>
    <row r="5" spans="1:16" s="531" customFormat="1" ht="18.75" customHeight="1" x14ac:dyDescent="0.2">
      <c r="A5" s="3"/>
      <c r="B5" s="56">
        <f t="shared" ref="B5:B16" si="0">+B4+1</f>
        <v>2</v>
      </c>
      <c r="C5" s="388" t="s">
        <v>890</v>
      </c>
      <c r="D5" s="389">
        <f>'28-Deliveries'!H7</f>
        <v>2875800</v>
      </c>
      <c r="E5" s="389">
        <f>'28-Deliveries'!H8</f>
        <v>1497438</v>
      </c>
      <c r="F5" s="389">
        <f>'28-Deliveries'!H9</f>
        <v>947300</v>
      </c>
      <c r="G5" s="389">
        <f>'28-Deliveries'!H13</f>
        <v>7242</v>
      </c>
      <c r="H5" s="443">
        <v>0</v>
      </c>
      <c r="I5" s="390">
        <f>'28-Deliveries'!H10</f>
        <v>152765</v>
      </c>
      <c r="J5" s="390">
        <f>'28-Deliveries'!H15</f>
        <v>208293</v>
      </c>
      <c r="K5" s="389">
        <f>SUM(D5:J5)</f>
        <v>5688838</v>
      </c>
      <c r="M5" s="532"/>
      <c r="N5" s="532"/>
      <c r="O5" s="532"/>
      <c r="P5" s="532"/>
    </row>
    <row r="6" spans="1:16" s="531" customFormat="1" ht="18.75" customHeight="1" x14ac:dyDescent="0.2">
      <c r="A6" s="3"/>
      <c r="B6" s="56">
        <f t="shared" si="0"/>
        <v>3</v>
      </c>
      <c r="C6" s="388" t="s">
        <v>891</v>
      </c>
      <c r="D6" s="389">
        <f>'17-Revenues'!E7</f>
        <v>31302819</v>
      </c>
      <c r="E6" s="443">
        <f>'17-Revenues'!E8</f>
        <v>7931984</v>
      </c>
      <c r="F6" s="443">
        <f>'17-Revenues'!E9</f>
        <v>3965115</v>
      </c>
      <c r="G6" s="445">
        <f>'17-Revenues'!E16</f>
        <v>1723656</v>
      </c>
      <c r="H6" s="389">
        <f>'17-Revenues'!E15</f>
        <v>1309854</v>
      </c>
      <c r="I6" s="444">
        <f>'17-Revenues'!E10</f>
        <v>734936</v>
      </c>
      <c r="J6" s="390">
        <f>'17-Revenues'!E22</f>
        <v>1177463</v>
      </c>
      <c r="K6" s="389">
        <f>SUM(D6:J6)</f>
        <v>48145827</v>
      </c>
      <c r="M6" s="536"/>
      <c r="N6" s="532"/>
      <c r="O6" s="532"/>
      <c r="P6" s="532"/>
    </row>
    <row r="7" spans="1:16" s="531" customFormat="1" ht="18.75" customHeight="1" x14ac:dyDescent="0.2">
      <c r="A7" s="3"/>
      <c r="B7" s="56">
        <f t="shared" si="0"/>
        <v>4</v>
      </c>
      <c r="C7" s="388" t="s">
        <v>892</v>
      </c>
      <c r="D7" s="391">
        <f t="shared" ref="D7:K7" si="1">D5/$K$5</f>
        <v>0.5055162407507473</v>
      </c>
      <c r="E7" s="391">
        <f t="shared" si="1"/>
        <v>0.26322387805734671</v>
      </c>
      <c r="F7" s="391">
        <f t="shared" si="1"/>
        <v>0.16651906769009769</v>
      </c>
      <c r="G7" s="391">
        <f t="shared" si="1"/>
        <v>1.273019200054563E-3</v>
      </c>
      <c r="H7" s="446">
        <f t="shared" si="1"/>
        <v>0</v>
      </c>
      <c r="I7" s="391">
        <f t="shared" si="1"/>
        <v>2.685346286886707E-2</v>
      </c>
      <c r="J7" s="485">
        <f t="shared" si="1"/>
        <v>3.6614331432886643E-2</v>
      </c>
      <c r="K7" s="391">
        <f t="shared" si="1"/>
        <v>1</v>
      </c>
      <c r="M7" s="536"/>
      <c r="N7" s="532"/>
      <c r="O7" s="532"/>
      <c r="P7" s="532"/>
    </row>
    <row r="8" spans="1:16" s="531" customFormat="1" ht="18.75" customHeight="1" x14ac:dyDescent="0.2">
      <c r="A8" s="3"/>
      <c r="B8" s="56">
        <f t="shared" si="0"/>
        <v>5</v>
      </c>
      <c r="C8" s="388" t="s">
        <v>893</v>
      </c>
      <c r="D8" s="446">
        <f t="shared" ref="D8:K8" si="2">D6/$K$6</f>
        <v>0.65016681508035989</v>
      </c>
      <c r="E8" s="446">
        <f t="shared" si="2"/>
        <v>0.16474914845683303</v>
      </c>
      <c r="F8" s="446">
        <f t="shared" si="2"/>
        <v>8.2356358734890986E-2</v>
      </c>
      <c r="G8" s="446">
        <f t="shared" si="2"/>
        <v>3.5800735129131754E-2</v>
      </c>
      <c r="H8" s="446">
        <f t="shared" si="2"/>
        <v>2.7205971558033473E-2</v>
      </c>
      <c r="I8" s="446">
        <f t="shared" si="2"/>
        <v>1.526479127671854E-2</v>
      </c>
      <c r="J8" s="486">
        <f t="shared" si="2"/>
        <v>2.4456179764032301E-2</v>
      </c>
      <c r="K8" s="391">
        <f t="shared" si="2"/>
        <v>1</v>
      </c>
      <c r="M8" s="532"/>
      <c r="N8" s="532"/>
      <c r="O8" s="532"/>
      <c r="P8" s="532"/>
    </row>
    <row r="9" spans="1:16" s="531" customFormat="1" ht="18.75" customHeight="1" x14ac:dyDescent="0.2">
      <c r="A9" s="3"/>
      <c r="B9" s="56">
        <f t="shared" si="0"/>
        <v>6</v>
      </c>
      <c r="C9" s="392"/>
      <c r="D9" s="393"/>
      <c r="E9" s="393"/>
      <c r="F9" s="393"/>
      <c r="G9" s="393"/>
      <c r="H9" s="393"/>
      <c r="I9" s="431"/>
      <c r="J9" s="431"/>
      <c r="K9" s="393"/>
      <c r="M9" s="532"/>
      <c r="N9" s="532"/>
      <c r="O9" s="532"/>
      <c r="P9" s="532"/>
    </row>
    <row r="10" spans="1:16" s="531" customFormat="1" ht="18.75" customHeight="1" x14ac:dyDescent="0.2">
      <c r="A10" s="3"/>
      <c r="B10" s="56">
        <f t="shared" si="0"/>
        <v>7</v>
      </c>
      <c r="C10" s="394" t="s">
        <v>894</v>
      </c>
      <c r="D10" s="395"/>
      <c r="E10" s="395"/>
      <c r="F10" s="395"/>
      <c r="G10" s="395"/>
      <c r="H10" s="395"/>
      <c r="I10" s="434"/>
      <c r="J10" s="432"/>
      <c r="K10" s="395"/>
      <c r="M10" s="532"/>
      <c r="N10" s="532"/>
      <c r="O10" s="532"/>
      <c r="P10" s="532"/>
    </row>
    <row r="11" spans="1:16" s="531" customFormat="1" ht="18.75" customHeight="1" x14ac:dyDescent="0.2">
      <c r="A11" s="3"/>
      <c r="B11" s="56">
        <f t="shared" si="0"/>
        <v>8</v>
      </c>
      <c r="C11" s="388" t="s">
        <v>895</v>
      </c>
      <c r="D11" s="395">
        <f t="shared" ref="D11:F11" si="3">D6/D5</f>
        <v>10.884908199457541</v>
      </c>
      <c r="E11" s="395">
        <f t="shared" si="3"/>
        <v>5.2970366719690567</v>
      </c>
      <c r="F11" s="432">
        <f t="shared" si="3"/>
        <v>4.1857014673281956</v>
      </c>
      <c r="G11" s="395">
        <f>G6/G5</f>
        <v>238.00828500414249</v>
      </c>
      <c r="H11" s="396" t="s">
        <v>12</v>
      </c>
      <c r="I11" s="432">
        <f>I6/I5</f>
        <v>4.8108925473766897</v>
      </c>
      <c r="J11" s="432">
        <f t="shared" ref="J11" si="4">J6/J5</f>
        <v>5.6529168046933886</v>
      </c>
      <c r="K11" s="395">
        <f>K6/K5</f>
        <v>8.4632093583962131</v>
      </c>
      <c r="L11" s="531" t="s">
        <v>12</v>
      </c>
      <c r="M11" s="532"/>
      <c r="N11" s="532"/>
      <c r="O11" s="532"/>
      <c r="P11" s="532"/>
    </row>
    <row r="12" spans="1:16" s="531" customFormat="1" ht="18.75" customHeight="1" x14ac:dyDescent="0.2">
      <c r="A12" s="3"/>
      <c r="B12" s="56">
        <f t="shared" si="0"/>
        <v>9</v>
      </c>
      <c r="C12" s="388" t="s">
        <v>896</v>
      </c>
      <c r="D12" s="395">
        <f>D11/$D$11</f>
        <v>1</v>
      </c>
      <c r="E12" s="395">
        <f>E11/$D$11</f>
        <v>0.4866404543708544</v>
      </c>
      <c r="F12" s="395">
        <f t="shared" ref="F12:G12" si="5">F11/$D$11</f>
        <v>0.38454173343756759</v>
      </c>
      <c r="G12" s="395">
        <f t="shared" si="5"/>
        <v>21.865897317903318</v>
      </c>
      <c r="H12" s="396" t="s">
        <v>12</v>
      </c>
      <c r="I12" s="395">
        <f>I11/$D$11</f>
        <v>0.44197823805408343</v>
      </c>
      <c r="J12" s="432">
        <f t="shared" ref="J12" si="6">J11/$D$11</f>
        <v>0.51933527606370689</v>
      </c>
      <c r="K12" s="395">
        <f t="shared" ref="K12" si="7">K11/$D$11</f>
        <v>0.77751775240676668</v>
      </c>
    </row>
    <row r="13" spans="1:16" s="531" customFormat="1" ht="18.75" customHeight="1" x14ac:dyDescent="0.2">
      <c r="A13" s="3"/>
      <c r="B13" s="56">
        <f t="shared" si="0"/>
        <v>10</v>
      </c>
      <c r="C13" s="388"/>
      <c r="D13" s="395"/>
      <c r="E13" s="395"/>
      <c r="F13" s="432"/>
      <c r="G13" s="395"/>
      <c r="H13" s="395"/>
      <c r="I13" s="432"/>
      <c r="J13" s="432"/>
      <c r="K13" s="395"/>
    </row>
    <row r="14" spans="1:16" s="531" customFormat="1" ht="18.75" customHeight="1" x14ac:dyDescent="0.2">
      <c r="A14" s="3"/>
      <c r="B14" s="56">
        <f t="shared" si="0"/>
        <v>11</v>
      </c>
      <c r="C14" s="388" t="s">
        <v>897</v>
      </c>
      <c r="D14" s="389"/>
      <c r="E14" s="389"/>
      <c r="F14" s="390"/>
      <c r="G14" s="389"/>
      <c r="H14" s="389"/>
      <c r="I14" s="390"/>
      <c r="J14" s="390"/>
      <c r="K14" s="443"/>
    </row>
    <row r="15" spans="1:16" s="531" customFormat="1" ht="18.75" customHeight="1" x14ac:dyDescent="0.2">
      <c r="A15" s="3"/>
      <c r="B15" s="56">
        <f t="shared" si="0"/>
        <v>12</v>
      </c>
      <c r="C15" s="388" t="s">
        <v>898</v>
      </c>
      <c r="D15" s="397">
        <f>D5*$K$11</f>
        <v>24338497.47287583</v>
      </c>
      <c r="E15" s="397">
        <f>E5*$K$11</f>
        <v>12673131.295218108</v>
      </c>
      <c r="F15" s="397">
        <f>F5*$K$11</f>
        <v>8017198.2252087323</v>
      </c>
      <c r="G15" s="397">
        <f>G5*$K$11</f>
        <v>61290.562173505372</v>
      </c>
      <c r="H15" s="397">
        <f t="shared" ref="H15" si="8">H5*$K$11</f>
        <v>0</v>
      </c>
      <c r="I15" s="429">
        <f>I5*$K$11</f>
        <v>1292882.1776353975</v>
      </c>
      <c r="J15" s="429">
        <f>J5*$K$11</f>
        <v>1762827.2668884224</v>
      </c>
      <c r="K15" s="481">
        <f>SUM(D15:J15)</f>
        <v>48145826.999999993</v>
      </c>
      <c r="L15" s="537" t="s">
        <v>12</v>
      </c>
    </row>
    <row r="16" spans="1:16" s="531" customFormat="1" ht="18.75" customHeight="1" x14ac:dyDescent="0.2">
      <c r="A16" s="3"/>
      <c r="B16" s="56">
        <f t="shared" si="0"/>
        <v>13</v>
      </c>
      <c r="C16" s="388" t="s">
        <v>899</v>
      </c>
      <c r="D16" s="389">
        <f t="shared" ref="D16:H16" si="9">D15-D6</f>
        <v>-6964321.5271241702</v>
      </c>
      <c r="E16" s="389">
        <f t="shared" si="9"/>
        <v>4741147.2952181082</v>
      </c>
      <c r="F16" s="389">
        <f t="shared" si="9"/>
        <v>4052083.2252087323</v>
      </c>
      <c r="G16" s="389">
        <f t="shared" si="9"/>
        <v>-1662365.4378264947</v>
      </c>
      <c r="H16" s="389">
        <f t="shared" si="9"/>
        <v>-1309854</v>
      </c>
      <c r="I16" s="390">
        <f>I15-I6</f>
        <v>557946.17763539753</v>
      </c>
      <c r="J16" s="390">
        <f t="shared" ref="J16" si="10">J15-J6</f>
        <v>585364.26688842243</v>
      </c>
      <c r="K16" s="482">
        <f>SUM(D16:J16)</f>
        <v>-4.4237822294235229E-9</v>
      </c>
      <c r="L16" s="537"/>
    </row>
    <row r="17" spans="1:12" ht="18.75" customHeight="1" x14ac:dyDescent="0.25">
      <c r="A17" s="3"/>
      <c r="B17" s="107"/>
      <c r="C17" s="148"/>
      <c r="D17" s="333"/>
      <c r="E17" s="332" t="s">
        <v>12</v>
      </c>
      <c r="F17" s="332"/>
      <c r="G17" s="332"/>
      <c r="H17" s="332"/>
      <c r="I17" s="332"/>
      <c r="J17" s="332"/>
      <c r="K17" s="426" t="s">
        <v>12</v>
      </c>
      <c r="L17" s="382" t="s">
        <v>900</v>
      </c>
    </row>
    <row r="18" spans="1:12" ht="18.75" customHeight="1" x14ac:dyDescent="0.25">
      <c r="A18" s="3"/>
      <c r="B18" s="148" t="s">
        <v>901</v>
      </c>
      <c r="G18" s="382"/>
      <c r="K18" t="s">
        <v>902</v>
      </c>
      <c r="L18" s="382"/>
    </row>
    <row r="19" spans="1:12" ht="18.75" customHeight="1" x14ac:dyDescent="0.25">
      <c r="A19" s="3"/>
      <c r="G19" t="s">
        <v>12</v>
      </c>
    </row>
    <row r="20" spans="1:12" ht="18.75" customHeight="1" x14ac:dyDescent="0.25">
      <c r="A20" s="3"/>
      <c r="K20" s="427"/>
    </row>
    <row r="21" spans="1:12" ht="18.75" customHeight="1" x14ac:dyDescent="0.25">
      <c r="A21" s="3"/>
      <c r="C21" t="s">
        <v>12</v>
      </c>
      <c r="K21" s="375"/>
    </row>
    <row r="22" spans="1:12" ht="18.75" customHeight="1" x14ac:dyDescent="0.25">
      <c r="A22" s="3"/>
    </row>
    <row r="23" spans="1:12" ht="18.75" customHeight="1" x14ac:dyDescent="0.25">
      <c r="A23" s="3"/>
    </row>
    <row r="24" spans="1:12" ht="18.75" customHeight="1" x14ac:dyDescent="0.25">
      <c r="A24" s="3"/>
    </row>
    <row r="25" spans="1:12" ht="18.75" customHeight="1" x14ac:dyDescent="0.25">
      <c r="A25" s="3"/>
    </row>
    <row r="26" spans="1:12" ht="18.75" customHeight="1" x14ac:dyDescent="0.25">
      <c r="A26" s="3"/>
    </row>
    <row r="27" spans="1:12" ht="18.75" customHeight="1" x14ac:dyDescent="0.25">
      <c r="A27" s="3"/>
    </row>
    <row r="28" spans="1:12" ht="18.75" customHeight="1" x14ac:dyDescent="0.25">
      <c r="A28" s="3"/>
    </row>
    <row r="29" spans="1:12" ht="18.75" customHeight="1" x14ac:dyDescent="0.25">
      <c r="A29" s="3"/>
    </row>
    <row r="30" spans="1:12" ht="18.75" customHeight="1" x14ac:dyDescent="0.25">
      <c r="A30" s="3"/>
    </row>
    <row r="31" spans="1:12" ht="18.75" customHeight="1" x14ac:dyDescent="0.25">
      <c r="A31" s="3"/>
    </row>
    <row r="32" spans="1:12" x14ac:dyDescent="0.25">
      <c r="A32" s="3"/>
    </row>
    <row r="33" spans="1:1" x14ac:dyDescent="0.25">
      <c r="A33" s="3"/>
    </row>
    <row r="34" spans="1:1" x14ac:dyDescent="0.25">
      <c r="A34" s="3"/>
    </row>
    <row r="35" spans="1:1" x14ac:dyDescent="0.25">
      <c r="A35" s="3"/>
    </row>
    <row r="36" spans="1:1" x14ac:dyDescent="0.25">
      <c r="A36" s="3"/>
    </row>
    <row r="37" spans="1:1" x14ac:dyDescent="0.25">
      <c r="A37" s="3"/>
    </row>
    <row r="38" spans="1:1" x14ac:dyDescent="0.25">
      <c r="A38" s="3"/>
    </row>
    <row r="39" spans="1:1" x14ac:dyDescent="0.25">
      <c r="A39" s="3"/>
    </row>
    <row r="40" spans="1:1" x14ac:dyDescent="0.25">
      <c r="A40" s="3"/>
    </row>
    <row r="41" spans="1:1" x14ac:dyDescent="0.25">
      <c r="A41" s="3"/>
    </row>
    <row r="42" spans="1:1" x14ac:dyDescent="0.25">
      <c r="A42"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69" spans="1:1" x14ac:dyDescent="0.25">
      <c r="A69" s="3"/>
    </row>
    <row r="70" spans="1:1" x14ac:dyDescent="0.25">
      <c r="A70" s="3"/>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884EE-6EA2-4A8C-A342-CC86283AE9F3}">
  <dimension ref="A1:K15"/>
  <sheetViews>
    <sheetView showGridLines="0" workbookViewId="0"/>
  </sheetViews>
  <sheetFormatPr defaultColWidth="9.140625" defaultRowHeight="15" x14ac:dyDescent="0.25"/>
  <cols>
    <col min="1" max="1" width="2.7109375" style="138" customWidth="1"/>
    <col min="2" max="2" width="7.42578125" style="5" customWidth="1"/>
    <col min="3" max="3" width="21" style="5" customWidth="1"/>
    <col min="4" max="7" width="13.28515625" style="5" customWidth="1"/>
    <col min="8" max="8" width="18.85546875" style="5" customWidth="1"/>
    <col min="9" max="9" width="11.85546875" style="5" customWidth="1"/>
    <col min="10" max="10" width="20.140625" style="5" customWidth="1"/>
    <col min="11" max="16384" width="9.140625" style="5"/>
  </cols>
  <sheetData>
    <row r="1" spans="1:11" s="9" customFormat="1" ht="9.75" customHeight="1" x14ac:dyDescent="0.25">
      <c r="B1" s="80"/>
    </row>
    <row r="2" spans="1:11" s="252" customFormat="1" ht="26.25" x14ac:dyDescent="0.25">
      <c r="A2" s="112"/>
      <c r="B2" s="50" t="s">
        <v>903</v>
      </c>
      <c r="I2" s="253"/>
    </row>
    <row r="3" spans="1:11" ht="14.25" customHeight="1" x14ac:dyDescent="0.25">
      <c r="B3" s="258" t="s">
        <v>13</v>
      </c>
      <c r="C3" s="538" t="s">
        <v>904</v>
      </c>
      <c r="D3" s="712" t="s">
        <v>905</v>
      </c>
      <c r="E3" s="712" t="s">
        <v>906</v>
      </c>
      <c r="F3" s="712" t="s">
        <v>907</v>
      </c>
      <c r="G3" s="712" t="s">
        <v>908</v>
      </c>
      <c r="H3" s="159"/>
      <c r="I3" s="159"/>
      <c r="J3" s="159"/>
      <c r="K3" s="159"/>
    </row>
    <row r="4" spans="1:11" ht="14.25" customHeight="1" x14ac:dyDescent="0.25">
      <c r="B4" s="56">
        <v>1</v>
      </c>
      <c r="C4" s="337" t="s">
        <v>470</v>
      </c>
      <c r="D4" s="539"/>
      <c r="E4" s="539">
        <v>7848127</v>
      </c>
      <c r="F4" s="539"/>
      <c r="G4" s="540">
        <f t="shared" ref="G4:G9" si="0">E4/$E$11</f>
        <v>0.4066326578459688</v>
      </c>
      <c r="H4" s="380"/>
      <c r="I4" s="219"/>
      <c r="J4" s="100"/>
      <c r="K4" s="191"/>
    </row>
    <row r="5" spans="1:11" ht="14.25" customHeight="1" x14ac:dyDescent="0.25">
      <c r="B5" s="56">
        <f t="shared" ref="B5:B13" si="1">+B4+1</f>
        <v>2</v>
      </c>
      <c r="C5" s="68" t="s">
        <v>471</v>
      </c>
      <c r="D5" s="113"/>
      <c r="E5" s="113">
        <v>4521070</v>
      </c>
      <c r="F5" s="113"/>
      <c r="G5" s="540">
        <f t="shared" si="0"/>
        <v>0.23424884821660943</v>
      </c>
      <c r="H5" s="100"/>
      <c r="I5" s="219"/>
      <c r="J5" s="100"/>
      <c r="K5" s="191"/>
    </row>
    <row r="6" spans="1:11" ht="14.25" customHeight="1" x14ac:dyDescent="0.25">
      <c r="B6" s="56">
        <f t="shared" si="1"/>
        <v>3</v>
      </c>
      <c r="C6" s="68" t="s">
        <v>472</v>
      </c>
      <c r="D6" s="113"/>
      <c r="E6" s="113">
        <v>2595343</v>
      </c>
      <c r="F6" s="113"/>
      <c r="G6" s="540">
        <f t="shared" si="0"/>
        <v>0.13447173091260251</v>
      </c>
      <c r="H6" s="100"/>
      <c r="I6" s="219"/>
      <c r="J6" s="100"/>
      <c r="K6" s="191"/>
    </row>
    <row r="7" spans="1:11" ht="14.25" customHeight="1" x14ac:dyDescent="0.25">
      <c r="B7" s="56">
        <f t="shared" si="1"/>
        <v>4</v>
      </c>
      <c r="C7" s="68" t="s">
        <v>888</v>
      </c>
      <c r="D7" s="113"/>
      <c r="E7" s="113">
        <v>570666</v>
      </c>
      <c r="F7" s="113"/>
      <c r="G7" s="540">
        <f t="shared" si="0"/>
        <v>2.9567746842313794E-2</v>
      </c>
      <c r="H7" s="100"/>
      <c r="I7" s="219"/>
      <c r="J7" s="100"/>
      <c r="K7" s="191"/>
    </row>
    <row r="8" spans="1:11" ht="14.25" customHeight="1" x14ac:dyDescent="0.25">
      <c r="B8" s="56">
        <f t="shared" si="1"/>
        <v>5</v>
      </c>
      <c r="C8" s="68" t="s">
        <v>909</v>
      </c>
      <c r="D8" s="113"/>
      <c r="E8" s="113">
        <v>438375</v>
      </c>
      <c r="F8" s="113"/>
      <c r="G8" s="540">
        <f t="shared" si="0"/>
        <v>2.2713392811205345E-2</v>
      </c>
      <c r="H8" s="100"/>
      <c r="I8" s="219"/>
      <c r="J8" s="100"/>
      <c r="K8" s="191"/>
    </row>
    <row r="9" spans="1:11" ht="14.25" customHeight="1" x14ac:dyDescent="0.25">
      <c r="B9" s="56">
        <f t="shared" si="1"/>
        <v>6</v>
      </c>
      <c r="C9" s="68" t="s">
        <v>910</v>
      </c>
      <c r="D9" s="113"/>
      <c r="E9" s="113">
        <v>3326706</v>
      </c>
      <c r="F9" s="113"/>
      <c r="G9" s="540">
        <f t="shared" si="0"/>
        <v>0.17236562337130013</v>
      </c>
      <c r="H9" s="191" t="s">
        <v>12</v>
      </c>
      <c r="I9" s="219"/>
      <c r="J9" s="100"/>
      <c r="K9" s="191"/>
    </row>
    <row r="10" spans="1:11" ht="14.25" customHeight="1" x14ac:dyDescent="0.25">
      <c r="B10" s="56">
        <f t="shared" si="1"/>
        <v>7</v>
      </c>
      <c r="C10" s="68" t="s">
        <v>911</v>
      </c>
      <c r="D10" s="113">
        <v>16700000</v>
      </c>
      <c r="E10" s="113"/>
      <c r="F10" s="342">
        <v>24000000</v>
      </c>
      <c r="G10" s="541" t="s">
        <v>12</v>
      </c>
      <c r="H10" s="425" t="s">
        <v>12</v>
      </c>
      <c r="I10" s="100"/>
      <c r="J10" s="155"/>
      <c r="K10" s="191"/>
    </row>
    <row r="11" spans="1:11" ht="14.25" customHeight="1" x14ac:dyDescent="0.25">
      <c r="B11" s="56">
        <f t="shared" si="1"/>
        <v>8</v>
      </c>
      <c r="C11" s="68" t="s">
        <v>912</v>
      </c>
      <c r="D11" s="113"/>
      <c r="E11" s="113">
        <f>SUM(E4:E10)</f>
        <v>19300287</v>
      </c>
      <c r="F11" s="342"/>
      <c r="G11" s="541">
        <f>E11/$E$11</f>
        <v>1</v>
      </c>
      <c r="H11" s="155" t="s">
        <v>12</v>
      </c>
      <c r="I11" s="219"/>
      <c r="J11" s="100"/>
      <c r="K11" s="191"/>
    </row>
    <row r="12" spans="1:11" ht="14.25" customHeight="1" x14ac:dyDescent="0.25">
      <c r="B12" s="56">
        <f t="shared" si="1"/>
        <v>9</v>
      </c>
      <c r="C12" s="68"/>
      <c r="D12" s="113"/>
      <c r="E12" s="113"/>
      <c r="F12" s="113"/>
      <c r="G12" s="614"/>
      <c r="H12" s="100"/>
      <c r="I12" s="100"/>
      <c r="J12" s="100"/>
      <c r="K12" s="100"/>
    </row>
    <row r="13" spans="1:11" ht="14.25" customHeight="1" x14ac:dyDescent="0.25">
      <c r="B13" s="56">
        <f t="shared" si="1"/>
        <v>10</v>
      </c>
      <c r="C13" s="68" t="s">
        <v>913</v>
      </c>
      <c r="D13" s="113"/>
      <c r="E13" s="113"/>
      <c r="F13" s="613" t="s">
        <v>12</v>
      </c>
      <c r="G13" s="542">
        <f>F10/E11</f>
        <v>1.2435048245655622</v>
      </c>
      <c r="H13" s="100"/>
      <c r="I13" s="100"/>
      <c r="J13" s="100"/>
      <c r="K13" s="100"/>
    </row>
    <row r="14" spans="1:11" ht="14.25" customHeight="1" x14ac:dyDescent="0.25">
      <c r="B14" s="500"/>
      <c r="C14" s="100"/>
      <c r="D14" s="501"/>
      <c r="E14" s="501"/>
      <c r="F14" s="502"/>
      <c r="G14" s="503"/>
      <c r="H14" s="100"/>
      <c r="I14" s="100"/>
      <c r="J14" s="100"/>
      <c r="K14" s="100"/>
    </row>
    <row r="15" spans="1:11" x14ac:dyDescent="0.25">
      <c r="B15" s="100" t="s">
        <v>914</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DDD69-8E3F-4526-BFF5-BB760B6793A5}">
  <sheetPr>
    <tabColor rgb="FFF2F2F2"/>
  </sheetPr>
  <dimension ref="A1:W36"/>
  <sheetViews>
    <sheetView showGridLines="0" topLeftCell="C17" workbookViewId="0">
      <selection activeCell="E30" sqref="E30"/>
    </sheetView>
  </sheetViews>
  <sheetFormatPr defaultColWidth="9.140625" defaultRowHeight="15.75" customHeight="1" x14ac:dyDescent="0.25"/>
  <cols>
    <col min="1" max="1" width="2.7109375" style="156" customWidth="1"/>
    <col min="2" max="2" width="6.7109375" style="156" customWidth="1"/>
    <col min="3" max="3" width="26.140625" style="358" customWidth="1"/>
    <col min="4" max="4" width="10.7109375" style="695" customWidth="1"/>
    <col min="5" max="5" width="10.7109375" style="358" customWidth="1"/>
    <col min="6" max="6" width="10.7109375" style="695" customWidth="1"/>
    <col min="7" max="7" width="10.7109375" style="358" customWidth="1"/>
    <col min="8" max="19" width="10.7109375" style="5" customWidth="1"/>
    <col min="20" max="20" width="1.7109375" style="5" customWidth="1"/>
    <col min="21" max="21" width="12.7109375" style="5" customWidth="1"/>
    <col min="22" max="16384" width="9.140625" style="5"/>
  </cols>
  <sheetData>
    <row r="1" spans="1:23" s="9" customFormat="1" ht="9.75" customHeight="1" x14ac:dyDescent="0.25">
      <c r="B1" s="80"/>
      <c r="C1" s="607"/>
      <c r="D1" s="694"/>
      <c r="E1" s="607"/>
      <c r="F1" s="694"/>
      <c r="G1" s="607"/>
    </row>
    <row r="2" spans="1:23" ht="26.25" x14ac:dyDescent="0.25">
      <c r="A2" s="11"/>
      <c r="B2" s="357" t="s">
        <v>915</v>
      </c>
    </row>
    <row r="3" spans="1:23" s="1" customFormat="1" ht="14.25" customHeight="1" x14ac:dyDescent="0.25">
      <c r="A3" s="11"/>
      <c r="B3" s="712" t="s">
        <v>13</v>
      </c>
      <c r="C3" s="373" t="s">
        <v>916</v>
      </c>
      <c r="D3" s="712">
        <v>2022</v>
      </c>
      <c r="E3" s="712">
        <v>2021</v>
      </c>
      <c r="F3" s="712">
        <v>2020</v>
      </c>
      <c r="G3" s="712">
        <v>2019</v>
      </c>
      <c r="H3" s="712">
        <v>2018</v>
      </c>
      <c r="I3" s="712">
        <v>2017</v>
      </c>
      <c r="J3" s="712">
        <v>2016</v>
      </c>
      <c r="K3" s="712">
        <v>2015</v>
      </c>
      <c r="L3" s="712">
        <v>2014</v>
      </c>
      <c r="M3" s="712">
        <v>2013</v>
      </c>
      <c r="N3" s="712">
        <v>2012</v>
      </c>
      <c r="O3" s="712">
        <v>2011</v>
      </c>
      <c r="P3" s="712">
        <v>2010</v>
      </c>
      <c r="Q3" s="712">
        <v>2009</v>
      </c>
      <c r="R3" s="712">
        <v>2008</v>
      </c>
      <c r="S3" s="712">
        <v>2007</v>
      </c>
      <c r="T3" s="712"/>
      <c r="U3" s="712" t="s">
        <v>366</v>
      </c>
      <c r="W3" s="152" t="s">
        <v>12</v>
      </c>
    </row>
    <row r="4" spans="1:23" s="1" customFormat="1" ht="14.25" customHeight="1" x14ac:dyDescent="0.25">
      <c r="A4" s="11"/>
      <c r="B4" s="42">
        <v>1</v>
      </c>
      <c r="C4" s="55" t="s">
        <v>24</v>
      </c>
      <c r="D4" s="113">
        <v>204858</v>
      </c>
      <c r="E4" s="113">
        <v>202919</v>
      </c>
      <c r="F4" s="113">
        <v>201408</v>
      </c>
      <c r="G4" s="113">
        <v>199732</v>
      </c>
      <c r="H4" s="113">
        <v>198395</v>
      </c>
      <c r="I4" s="113">
        <v>197177</v>
      </c>
      <c r="J4" s="113">
        <v>195351</v>
      </c>
      <c r="K4" s="113">
        <v>193271</v>
      </c>
      <c r="L4" s="113">
        <v>191612</v>
      </c>
      <c r="M4" s="113">
        <v>190238</v>
      </c>
      <c r="N4" s="113">
        <v>189064</v>
      </c>
      <c r="O4" s="113">
        <v>186779</v>
      </c>
      <c r="P4" s="113">
        <v>182000</v>
      </c>
      <c r="Q4" s="113">
        <v>180339</v>
      </c>
      <c r="R4" s="83">
        <v>175800</v>
      </c>
      <c r="S4" s="604">
        <v>170976</v>
      </c>
      <c r="T4" s="442"/>
      <c r="U4" s="113">
        <f>AVERAGE(E4:S4)</f>
        <v>190337.4</v>
      </c>
    </row>
    <row r="5" spans="1:23" s="1" customFormat="1" ht="14.25" customHeight="1" x14ac:dyDescent="0.25">
      <c r="A5" s="11"/>
      <c r="B5" s="42">
        <f t="shared" ref="B5:B31" si="0">B4+1</f>
        <v>2</v>
      </c>
      <c r="C5" s="55"/>
      <c r="D5" s="436"/>
      <c r="E5" s="55"/>
      <c r="F5" s="436"/>
      <c r="G5" s="55"/>
      <c r="H5" s="113"/>
      <c r="I5" s="113"/>
      <c r="J5" s="113"/>
      <c r="K5" s="113"/>
      <c r="L5" s="113"/>
      <c r="M5" s="113"/>
      <c r="N5" s="113"/>
      <c r="O5" s="113"/>
      <c r="P5" s="113"/>
      <c r="Q5" s="436"/>
      <c r="R5" s="83"/>
      <c r="S5" s="437"/>
      <c r="T5" s="437"/>
      <c r="U5" s="438"/>
    </row>
    <row r="6" spans="1:23" s="1" customFormat="1" ht="14.25" customHeight="1" x14ac:dyDescent="0.25">
      <c r="A6" s="11"/>
      <c r="B6" s="42">
        <f t="shared" si="0"/>
        <v>3</v>
      </c>
      <c r="C6" s="55" t="s">
        <v>917</v>
      </c>
      <c r="D6" s="696">
        <v>44637</v>
      </c>
      <c r="E6" s="696">
        <v>44461</v>
      </c>
      <c r="F6" s="696">
        <v>43930</v>
      </c>
      <c r="G6" s="612">
        <v>43823</v>
      </c>
      <c r="H6" s="612">
        <v>43458</v>
      </c>
      <c r="I6" s="610">
        <v>42808</v>
      </c>
      <c r="J6" s="610">
        <v>42370</v>
      </c>
      <c r="K6" s="610">
        <v>42363</v>
      </c>
      <c r="L6" s="610">
        <v>41998</v>
      </c>
      <c r="M6" s="610">
        <v>41633</v>
      </c>
      <c r="N6" s="610">
        <v>40909</v>
      </c>
      <c r="O6" s="610">
        <v>40902</v>
      </c>
      <c r="P6" s="610">
        <v>40219</v>
      </c>
      <c r="Q6" s="610">
        <v>40172</v>
      </c>
      <c r="R6" s="611">
        <v>39807</v>
      </c>
      <c r="S6" s="610">
        <v>39441</v>
      </c>
      <c r="T6" s="437"/>
      <c r="U6" s="609"/>
    </row>
    <row r="7" spans="1:23" s="1" customFormat="1" ht="14.25" customHeight="1" x14ac:dyDescent="0.25">
      <c r="A7" s="11"/>
      <c r="B7" s="42">
        <f t="shared" si="0"/>
        <v>4</v>
      </c>
      <c r="C7" s="55" t="s">
        <v>918</v>
      </c>
      <c r="D7" s="696">
        <v>44806</v>
      </c>
      <c r="E7" s="696">
        <v>44314</v>
      </c>
      <c r="F7" s="696">
        <v>44032</v>
      </c>
      <c r="G7" s="610">
        <v>43676</v>
      </c>
      <c r="H7" s="610">
        <v>43243</v>
      </c>
      <c r="I7" s="610">
        <v>42876</v>
      </c>
      <c r="J7" s="610">
        <v>42573</v>
      </c>
      <c r="K7" s="610">
        <v>42209</v>
      </c>
      <c r="L7" s="610">
        <v>41827</v>
      </c>
      <c r="M7" s="610">
        <v>41425</v>
      </c>
      <c r="N7" s="610">
        <v>41097</v>
      </c>
      <c r="O7" s="610">
        <v>40745</v>
      </c>
      <c r="P7" s="610">
        <v>40365</v>
      </c>
      <c r="Q7" s="610">
        <v>40009</v>
      </c>
      <c r="R7" s="611">
        <v>39612</v>
      </c>
      <c r="S7" s="610">
        <v>39233</v>
      </c>
      <c r="T7" s="437"/>
      <c r="U7" s="609"/>
    </row>
    <row r="8" spans="1:23" s="1" customFormat="1" ht="14.25" customHeight="1" x14ac:dyDescent="0.25">
      <c r="A8" s="11"/>
      <c r="B8" s="42">
        <f t="shared" si="0"/>
        <v>5</v>
      </c>
      <c r="C8" s="55"/>
      <c r="D8" s="436"/>
      <c r="E8" s="55"/>
      <c r="F8" s="436"/>
      <c r="G8" s="55"/>
      <c r="H8" s="113"/>
      <c r="I8" s="113"/>
      <c r="J8" s="113"/>
      <c r="K8" s="113"/>
      <c r="L8" s="113"/>
      <c r="M8" s="113"/>
      <c r="N8" s="113"/>
      <c r="O8" s="113"/>
      <c r="P8" s="113"/>
      <c r="Q8" s="436"/>
      <c r="R8" s="83"/>
      <c r="S8" s="437"/>
      <c r="T8" s="437"/>
      <c r="U8" s="438"/>
    </row>
    <row r="9" spans="1:23" s="1" customFormat="1" ht="14.25" customHeight="1" x14ac:dyDescent="0.25">
      <c r="A9" s="11"/>
      <c r="B9" s="42">
        <f t="shared" si="0"/>
        <v>6</v>
      </c>
      <c r="C9" s="55" t="s">
        <v>919</v>
      </c>
      <c r="D9" s="113">
        <v>14890000</v>
      </c>
      <c r="E9" s="113">
        <v>13630000</v>
      </c>
      <c r="F9" s="113">
        <v>17090000</v>
      </c>
      <c r="G9" s="113">
        <v>16950000</v>
      </c>
      <c r="H9" s="113">
        <v>16700000</v>
      </c>
      <c r="I9" s="113">
        <v>14250000</v>
      </c>
      <c r="J9" s="113">
        <v>15040000</v>
      </c>
      <c r="K9" s="113">
        <v>15590000</v>
      </c>
      <c r="L9" s="113">
        <v>15290000</v>
      </c>
      <c r="M9" s="113">
        <v>15230000</v>
      </c>
      <c r="N9" s="113">
        <v>15250000</v>
      </c>
      <c r="O9" s="113">
        <v>14060000</v>
      </c>
      <c r="P9" s="113">
        <v>15340000</v>
      </c>
      <c r="Q9" s="113">
        <v>14680000</v>
      </c>
      <c r="R9" s="83">
        <v>15040000</v>
      </c>
      <c r="S9" s="113">
        <v>14970000</v>
      </c>
      <c r="T9" s="437"/>
      <c r="U9" s="113">
        <f>AVERAGE(E9:S9)</f>
        <v>15274000</v>
      </c>
    </row>
    <row r="10" spans="1:23" s="1" customFormat="1" ht="14.25" customHeight="1" x14ac:dyDescent="0.25">
      <c r="A10" s="11"/>
      <c r="B10" s="42">
        <f t="shared" si="0"/>
        <v>7</v>
      </c>
      <c r="C10" s="55" t="s">
        <v>920</v>
      </c>
      <c r="D10" s="113">
        <v>25160000</v>
      </c>
      <c r="E10" s="113">
        <v>25490000</v>
      </c>
      <c r="F10" s="113">
        <v>24730000</v>
      </c>
      <c r="G10" s="342">
        <v>24000000</v>
      </c>
      <c r="H10" s="342">
        <v>24470000</v>
      </c>
      <c r="I10" s="113">
        <v>24450000</v>
      </c>
      <c r="J10" s="113">
        <v>24350000</v>
      </c>
      <c r="K10" s="113">
        <v>24800000</v>
      </c>
      <c r="L10" s="113">
        <v>22270000</v>
      </c>
      <c r="M10" s="113">
        <v>23890000</v>
      </c>
      <c r="N10" s="113">
        <v>25300000</v>
      </c>
      <c r="O10" s="113">
        <v>26330000</v>
      </c>
      <c r="P10" s="113">
        <v>27760000</v>
      </c>
      <c r="Q10" s="113">
        <v>22730000</v>
      </c>
      <c r="R10" s="83">
        <v>23280000</v>
      </c>
      <c r="S10" s="113">
        <v>25280000</v>
      </c>
      <c r="T10" s="437"/>
      <c r="U10" s="113">
        <f>AVERAGE(E10:S10)</f>
        <v>24608666.666666668</v>
      </c>
    </row>
    <row r="11" spans="1:23" s="1" customFormat="1" ht="14.25" customHeight="1" x14ac:dyDescent="0.25">
      <c r="A11" s="11"/>
      <c r="B11" s="42">
        <f t="shared" si="0"/>
        <v>8</v>
      </c>
      <c r="C11" s="55"/>
      <c r="D11" s="436"/>
      <c r="E11" s="55"/>
      <c r="F11" s="436"/>
      <c r="G11" s="55"/>
      <c r="H11" s="113"/>
      <c r="I11" s="113"/>
      <c r="J11" s="113"/>
      <c r="K11" s="113"/>
      <c r="L11" s="113"/>
      <c r="M11" s="113"/>
      <c r="N11" s="113"/>
      <c r="O11" s="113"/>
      <c r="P11" s="113"/>
      <c r="Q11" s="113"/>
      <c r="R11" s="83"/>
      <c r="S11" s="113"/>
      <c r="T11" s="437"/>
      <c r="U11" s="113"/>
    </row>
    <row r="12" spans="1:23" s="1" customFormat="1" ht="14.25" customHeight="1" x14ac:dyDescent="0.25">
      <c r="A12" s="11"/>
      <c r="B12" s="42">
        <f t="shared" si="0"/>
        <v>9</v>
      </c>
      <c r="C12" s="55" t="s">
        <v>921</v>
      </c>
      <c r="D12" s="436"/>
      <c r="E12" s="55"/>
      <c r="F12" s="436"/>
      <c r="G12" s="55"/>
      <c r="H12" s="113"/>
      <c r="I12" s="113"/>
      <c r="J12" s="113"/>
      <c r="K12" s="113"/>
      <c r="L12" s="113"/>
      <c r="M12" s="113"/>
      <c r="N12" s="113"/>
      <c r="O12" s="113"/>
      <c r="P12" s="113"/>
      <c r="Q12" s="113"/>
      <c r="R12" s="83"/>
      <c r="S12" s="113"/>
      <c r="T12" s="437"/>
      <c r="U12" s="113"/>
    </row>
    <row r="13" spans="1:23" s="1" customFormat="1" ht="14.25" customHeight="1" x14ac:dyDescent="0.25">
      <c r="A13" s="11"/>
      <c r="B13" s="42">
        <f t="shared" si="0"/>
        <v>10</v>
      </c>
      <c r="C13" s="55" t="s">
        <v>922</v>
      </c>
      <c r="D13" s="113">
        <v>8169290</v>
      </c>
      <c r="E13" s="113">
        <v>8237781</v>
      </c>
      <c r="F13" s="113">
        <v>8282761</v>
      </c>
      <c r="G13" s="113">
        <v>7922633</v>
      </c>
      <c r="H13" s="113">
        <v>7878906</v>
      </c>
      <c r="I13" s="113">
        <v>7835223</v>
      </c>
      <c r="J13" s="113">
        <v>7954669</v>
      </c>
      <c r="K13" s="113">
        <v>7769587</v>
      </c>
      <c r="L13" s="113">
        <v>7864902</v>
      </c>
      <c r="M13" s="113">
        <v>7857835</v>
      </c>
      <c r="N13" s="113">
        <v>7894516</v>
      </c>
      <c r="O13" s="113">
        <v>8005902</v>
      </c>
      <c r="P13" s="113">
        <v>8096863</v>
      </c>
      <c r="Q13" s="113">
        <v>8120159</v>
      </c>
      <c r="R13" s="83">
        <v>7992737</v>
      </c>
      <c r="S13" s="113">
        <v>8202192</v>
      </c>
      <c r="T13" s="437"/>
      <c r="U13" s="113">
        <f>AVERAGE(E13:S13)</f>
        <v>7994444.4000000004</v>
      </c>
    </row>
    <row r="14" spans="1:23" s="1" customFormat="1" ht="14.25" customHeight="1" x14ac:dyDescent="0.25">
      <c r="A14" s="11"/>
      <c r="B14" s="42">
        <f t="shared" si="0"/>
        <v>11</v>
      </c>
      <c r="C14" s="55" t="s">
        <v>471</v>
      </c>
      <c r="D14" s="113">
        <v>4553128</v>
      </c>
      <c r="E14" s="113">
        <v>4276404</v>
      </c>
      <c r="F14" s="113">
        <v>3919049</v>
      </c>
      <c r="G14" s="113">
        <v>4196814</v>
      </c>
      <c r="H14" s="113">
        <v>4102568</v>
      </c>
      <c r="I14" s="113">
        <v>4206106</v>
      </c>
      <c r="J14" s="113">
        <v>4540660</v>
      </c>
      <c r="K14" s="113">
        <v>4499615</v>
      </c>
      <c r="L14" s="113">
        <v>4372343</v>
      </c>
      <c r="M14" s="113">
        <v>4310064</v>
      </c>
      <c r="N14" s="113">
        <v>4314453</v>
      </c>
      <c r="O14" s="113">
        <v>4217997</v>
      </c>
      <c r="P14" s="113">
        <v>4279689</v>
      </c>
      <c r="Q14" s="113">
        <v>4279336</v>
      </c>
      <c r="R14" s="83">
        <v>4399102</v>
      </c>
      <c r="S14" s="113">
        <v>3692329</v>
      </c>
      <c r="T14" s="437"/>
      <c r="U14" s="113">
        <f t="shared" ref="U14:U19" si="1">AVERAGE(E14:S14)</f>
        <v>4240435.2666666666</v>
      </c>
    </row>
    <row r="15" spans="1:23" s="1" customFormat="1" ht="14.25" customHeight="1" x14ac:dyDescent="0.25">
      <c r="A15" s="11"/>
      <c r="B15" s="42">
        <f t="shared" si="0"/>
        <v>12</v>
      </c>
      <c r="C15" s="55" t="s">
        <v>923</v>
      </c>
      <c r="D15" s="707">
        <v>2533240</v>
      </c>
      <c r="E15" s="707">
        <v>2473731</v>
      </c>
      <c r="F15" s="707">
        <v>2343856</v>
      </c>
      <c r="G15" s="113">
        <v>2476139</v>
      </c>
      <c r="H15" s="113">
        <v>2595343</v>
      </c>
      <c r="I15" s="113">
        <v>2487490</v>
      </c>
      <c r="J15" s="113">
        <v>2563169</v>
      </c>
      <c r="K15" s="113">
        <v>2470593</v>
      </c>
      <c r="L15" s="113">
        <v>2535109</v>
      </c>
      <c r="M15" s="113">
        <v>2550279</v>
      </c>
      <c r="N15" s="113">
        <v>2564984</v>
      </c>
      <c r="O15" s="113">
        <v>2672603</v>
      </c>
      <c r="P15" s="113">
        <v>2723259</v>
      </c>
      <c r="Q15" s="113">
        <v>2615238</v>
      </c>
      <c r="R15" s="83">
        <v>2700555</v>
      </c>
      <c r="S15" s="113">
        <v>2807123</v>
      </c>
      <c r="T15" s="437"/>
      <c r="U15" s="113">
        <f t="shared" si="1"/>
        <v>2571964.7333333334</v>
      </c>
    </row>
    <row r="16" spans="1:23" s="1" customFormat="1" ht="14.25" customHeight="1" x14ac:dyDescent="0.25">
      <c r="A16" s="11"/>
      <c r="B16" s="42">
        <f t="shared" si="0"/>
        <v>13</v>
      </c>
      <c r="C16" s="706" t="s">
        <v>456</v>
      </c>
      <c r="D16" s="752">
        <v>341099</v>
      </c>
      <c r="E16" s="113">
        <v>390215</v>
      </c>
      <c r="F16" s="113">
        <v>340468</v>
      </c>
      <c r="G16" s="152">
        <v>435191</v>
      </c>
      <c r="H16" s="113">
        <v>418533</v>
      </c>
      <c r="I16" s="113">
        <v>423217</v>
      </c>
      <c r="J16" s="113">
        <v>441899</v>
      </c>
      <c r="K16" s="113">
        <v>422244</v>
      </c>
      <c r="L16" s="113">
        <v>406193</v>
      </c>
      <c r="M16" s="113">
        <v>404230</v>
      </c>
      <c r="N16" s="113">
        <v>440543</v>
      </c>
      <c r="O16" s="113">
        <v>421236</v>
      </c>
      <c r="P16" s="113">
        <v>426618</v>
      </c>
      <c r="Q16" s="113">
        <v>419202</v>
      </c>
      <c r="R16" s="83">
        <v>1109222</v>
      </c>
      <c r="S16" s="113">
        <v>1133699</v>
      </c>
      <c r="T16" s="437"/>
      <c r="U16" s="113">
        <f t="shared" si="1"/>
        <v>508847.33333333331</v>
      </c>
    </row>
    <row r="17" spans="1:21" s="1" customFormat="1" ht="14.25" customHeight="1" x14ac:dyDescent="0.25">
      <c r="A17" s="11"/>
      <c r="B17" s="42">
        <f t="shared" si="0"/>
        <v>14</v>
      </c>
      <c r="C17" s="55" t="s">
        <v>888</v>
      </c>
      <c r="D17" s="539">
        <v>669578</v>
      </c>
      <c r="E17" s="539">
        <v>623219</v>
      </c>
      <c r="F17" s="539">
        <v>603260</v>
      </c>
      <c r="G17" s="113">
        <v>607170</v>
      </c>
      <c r="H17" s="113">
        <v>570666</v>
      </c>
      <c r="I17" s="113">
        <v>581417</v>
      </c>
      <c r="J17" s="113">
        <v>641976</v>
      </c>
      <c r="K17" s="113">
        <v>758097</v>
      </c>
      <c r="L17" s="113">
        <v>696802</v>
      </c>
      <c r="M17" s="113">
        <v>640891</v>
      </c>
      <c r="N17" s="113">
        <v>647638</v>
      </c>
      <c r="O17" s="113">
        <v>722560</v>
      </c>
      <c r="P17" s="605">
        <v>726265</v>
      </c>
      <c r="Q17" s="113">
        <v>689457</v>
      </c>
      <c r="R17" s="83">
        <v>669041</v>
      </c>
      <c r="S17" s="113">
        <v>771233</v>
      </c>
      <c r="T17" s="437"/>
      <c r="U17" s="113">
        <f t="shared" si="1"/>
        <v>663312.80000000005</v>
      </c>
    </row>
    <row r="18" spans="1:21" s="138" customFormat="1" ht="14.25" customHeight="1" x14ac:dyDescent="0.25">
      <c r="A18" s="408"/>
      <c r="B18" s="42">
        <f t="shared" si="0"/>
        <v>15</v>
      </c>
      <c r="C18" s="57" t="s">
        <v>924</v>
      </c>
      <c r="D18" s="342">
        <v>28612</v>
      </c>
      <c r="E18" s="342">
        <v>40906</v>
      </c>
      <c r="F18" s="342">
        <v>28995</v>
      </c>
      <c r="G18" s="342">
        <v>26736</v>
      </c>
      <c r="H18" s="342">
        <v>19842</v>
      </c>
      <c r="I18" s="342">
        <v>38604</v>
      </c>
      <c r="J18" s="342">
        <v>35435</v>
      </c>
      <c r="K18" s="342">
        <v>25935</v>
      </c>
      <c r="L18" s="342">
        <v>22088</v>
      </c>
      <c r="M18" s="342">
        <v>17962</v>
      </c>
      <c r="N18" s="342">
        <v>16907</v>
      </c>
      <c r="O18" s="342">
        <v>15499</v>
      </c>
      <c r="P18" s="207">
        <v>20166</v>
      </c>
      <c r="Q18" s="342">
        <v>17032</v>
      </c>
      <c r="R18" s="207">
        <v>14884</v>
      </c>
      <c r="S18" s="342">
        <v>19178</v>
      </c>
      <c r="T18" s="608"/>
      <c r="U18" s="113">
        <f t="shared" si="1"/>
        <v>24011.266666666666</v>
      </c>
    </row>
    <row r="19" spans="1:21" s="1" customFormat="1" ht="14.25" customHeight="1" x14ac:dyDescent="0.25">
      <c r="A19" s="11"/>
      <c r="B19" s="42">
        <f t="shared" si="0"/>
        <v>16</v>
      </c>
      <c r="C19" s="55" t="s">
        <v>925</v>
      </c>
      <c r="D19" s="83">
        <f>SUM(D13:D18)</f>
        <v>16294947</v>
      </c>
      <c r="E19" s="83">
        <f>SUM(E13:E18)</f>
        <v>16042256</v>
      </c>
      <c r="F19" s="83">
        <f t="shared" ref="F19:S19" si="2">SUM(F13:F18)</f>
        <v>15518389</v>
      </c>
      <c r="G19" s="83">
        <f t="shared" si="2"/>
        <v>15664683</v>
      </c>
      <c r="H19" s="83">
        <f t="shared" si="2"/>
        <v>15585858</v>
      </c>
      <c r="I19" s="83">
        <f t="shared" si="2"/>
        <v>15572057</v>
      </c>
      <c r="J19" s="83">
        <f t="shared" si="2"/>
        <v>16177808</v>
      </c>
      <c r="K19" s="83">
        <f t="shared" si="2"/>
        <v>15946071</v>
      </c>
      <c r="L19" s="83">
        <f t="shared" si="2"/>
        <v>15897437</v>
      </c>
      <c r="M19" s="83">
        <f t="shared" si="2"/>
        <v>15781261</v>
      </c>
      <c r="N19" s="83">
        <f t="shared" si="2"/>
        <v>15879041</v>
      </c>
      <c r="O19" s="83">
        <f t="shared" si="2"/>
        <v>16055797</v>
      </c>
      <c r="P19" s="83">
        <f t="shared" si="2"/>
        <v>16272860</v>
      </c>
      <c r="Q19" s="83">
        <f t="shared" si="2"/>
        <v>16140424</v>
      </c>
      <c r="R19" s="83">
        <f t="shared" si="2"/>
        <v>16885541</v>
      </c>
      <c r="S19" s="83">
        <f t="shared" si="2"/>
        <v>16625754</v>
      </c>
      <c r="T19" s="76"/>
      <c r="U19" s="113">
        <f t="shared" si="1"/>
        <v>16003015.800000001</v>
      </c>
    </row>
    <row r="20" spans="1:21" s="1" customFormat="1" ht="14.25" customHeight="1" x14ac:dyDescent="0.25">
      <c r="A20" s="11"/>
      <c r="B20" s="42">
        <f t="shared" si="0"/>
        <v>17</v>
      </c>
      <c r="C20" s="55"/>
      <c r="D20" s="436"/>
      <c r="E20" s="55"/>
      <c r="F20" s="113"/>
      <c r="G20" s="113"/>
      <c r="H20" s="83"/>
      <c r="I20" s="83"/>
      <c r="J20" s="83"/>
      <c r="K20" s="83"/>
      <c r="L20" s="83"/>
      <c r="M20" s="83"/>
      <c r="N20" s="83"/>
      <c r="O20" s="83"/>
      <c r="P20" s="83"/>
      <c r="Q20" s="83"/>
      <c r="R20" s="83"/>
      <c r="S20" s="83"/>
      <c r="T20" s="76"/>
      <c r="U20" s="113"/>
    </row>
    <row r="21" spans="1:21" s="1" customFormat="1" ht="14.25" customHeight="1" x14ac:dyDescent="0.25">
      <c r="A21" s="11"/>
      <c r="B21" s="42">
        <f t="shared" si="0"/>
        <v>18</v>
      </c>
      <c r="C21" s="55" t="s">
        <v>878</v>
      </c>
      <c r="D21" s="113">
        <v>1049994</v>
      </c>
      <c r="E21" s="113">
        <v>1306845</v>
      </c>
      <c r="F21" s="113">
        <v>1495752</v>
      </c>
      <c r="G21" s="113">
        <v>1563386</v>
      </c>
      <c r="H21" s="83">
        <v>554236</v>
      </c>
      <c r="I21" s="83">
        <v>342016</v>
      </c>
      <c r="J21" s="83">
        <v>371055</v>
      </c>
      <c r="K21" s="83">
        <v>368922</v>
      </c>
      <c r="L21" s="83">
        <v>308369</v>
      </c>
      <c r="M21" s="83">
        <v>276491</v>
      </c>
      <c r="N21" s="83">
        <v>265312</v>
      </c>
      <c r="O21" s="83">
        <v>300548</v>
      </c>
      <c r="P21" s="83">
        <v>289554</v>
      </c>
      <c r="Q21" s="83">
        <v>176299</v>
      </c>
      <c r="R21" s="83">
        <v>340122</v>
      </c>
      <c r="S21" s="83">
        <f>413425+533699</f>
        <v>947124</v>
      </c>
      <c r="T21" s="76"/>
      <c r="U21" s="113">
        <f t="shared" ref="U21:U22" si="3">AVERAGE(E21:S21)</f>
        <v>593735.4</v>
      </c>
    </row>
    <row r="22" spans="1:21" s="1" customFormat="1" ht="14.25" customHeight="1" x14ac:dyDescent="0.25">
      <c r="A22" s="11"/>
      <c r="B22" s="42">
        <f t="shared" si="0"/>
        <v>19</v>
      </c>
      <c r="C22" s="55" t="s">
        <v>926</v>
      </c>
      <c r="D22" s="113">
        <f>1376096344/365</f>
        <v>3770126.9698630138</v>
      </c>
      <c r="E22" s="113">
        <f>1084577970/365</f>
        <v>2971446.493150685</v>
      </c>
      <c r="F22" s="113">
        <f>1085838961/365</f>
        <v>2974901.2630136986</v>
      </c>
      <c r="G22" s="113">
        <f>1069144900/365</f>
        <v>2929164.1095890412</v>
      </c>
      <c r="H22" s="83">
        <f>1212027684/365</f>
        <v>3320623.791780822</v>
      </c>
      <c r="I22" s="83">
        <f>899230324/365</f>
        <v>2463644.7232876713</v>
      </c>
      <c r="J22" s="83">
        <f>839750943/365</f>
        <v>2300687.5150684933</v>
      </c>
      <c r="K22" s="83">
        <f>799876313/365</f>
        <v>2191441.9534246577</v>
      </c>
      <c r="L22" s="83">
        <f>774275900/365</f>
        <v>2121303.8356164382</v>
      </c>
      <c r="M22" s="83">
        <f>1108397388/365</f>
        <v>3036705.1726027397</v>
      </c>
      <c r="N22" s="83">
        <v>2459891</v>
      </c>
      <c r="O22" s="83">
        <v>2108195</v>
      </c>
      <c r="P22" s="83">
        <v>2312103</v>
      </c>
      <c r="Q22" s="83">
        <f>699558936/365</f>
        <v>1916599.8246575342</v>
      </c>
      <c r="R22" s="83">
        <f>409803168/365</f>
        <v>1122748.4054794521</v>
      </c>
      <c r="S22" s="83">
        <f>541900000/365</f>
        <v>1484657.5342465753</v>
      </c>
      <c r="T22" s="76"/>
      <c r="U22" s="113">
        <f t="shared" si="3"/>
        <v>2380940.9081278541</v>
      </c>
    </row>
    <row r="23" spans="1:21" s="1" customFormat="1" ht="14.25" customHeight="1" x14ac:dyDescent="0.25">
      <c r="A23" s="11"/>
      <c r="B23" s="42">
        <f t="shared" si="0"/>
        <v>20</v>
      </c>
      <c r="C23" s="55"/>
      <c r="D23" s="114"/>
      <c r="E23" s="705"/>
      <c r="F23" s="705"/>
      <c r="H23" s="83"/>
      <c r="I23" s="83"/>
      <c r="J23" s="83"/>
      <c r="K23" s="83"/>
      <c r="L23" s="83"/>
      <c r="M23" s="83"/>
      <c r="N23" s="83"/>
      <c r="O23" s="83"/>
      <c r="P23" s="83"/>
      <c r="Q23" s="83"/>
      <c r="R23" s="83"/>
      <c r="S23" s="83"/>
      <c r="T23" s="76"/>
      <c r="U23" s="113"/>
    </row>
    <row r="24" spans="1:21" s="1" customFormat="1" ht="14.25" customHeight="1" x14ac:dyDescent="0.25">
      <c r="A24" s="11"/>
      <c r="B24" s="42">
        <f t="shared" si="0"/>
        <v>21</v>
      </c>
      <c r="C24" s="55" t="s">
        <v>927</v>
      </c>
      <c r="D24" s="83">
        <f t="shared" ref="D24:J24" si="4">SUM(D19:D22)</f>
        <v>21115067.969863012</v>
      </c>
      <c r="E24" s="83">
        <f t="shared" si="4"/>
        <v>20320547.493150685</v>
      </c>
      <c r="F24" s="83">
        <f t="shared" si="4"/>
        <v>19989042.263013698</v>
      </c>
      <c r="G24" s="83">
        <f t="shared" si="4"/>
        <v>20157233.10958904</v>
      </c>
      <c r="H24" s="83">
        <f t="shared" si="4"/>
        <v>19460717.791780822</v>
      </c>
      <c r="I24" s="83">
        <f t="shared" si="4"/>
        <v>18377717.723287672</v>
      </c>
      <c r="J24" s="83">
        <f t="shared" si="4"/>
        <v>18849550.515068494</v>
      </c>
      <c r="K24" s="83">
        <f t="shared" ref="K24:S24" si="5">SUM(K19:K22)</f>
        <v>18506434.953424659</v>
      </c>
      <c r="L24" s="83">
        <f t="shared" si="5"/>
        <v>18327109.83561644</v>
      </c>
      <c r="M24" s="83">
        <f t="shared" si="5"/>
        <v>19094457.172602739</v>
      </c>
      <c r="N24" s="83">
        <f t="shared" si="5"/>
        <v>18604244</v>
      </c>
      <c r="O24" s="83">
        <f t="shared" si="5"/>
        <v>18464540</v>
      </c>
      <c r="P24" s="83">
        <f t="shared" si="5"/>
        <v>18874517</v>
      </c>
      <c r="Q24" s="83">
        <f t="shared" si="5"/>
        <v>18233322.824657533</v>
      </c>
      <c r="R24" s="83">
        <f t="shared" si="5"/>
        <v>18348411.405479454</v>
      </c>
      <c r="S24" s="83">
        <f t="shared" si="5"/>
        <v>19057535.534246575</v>
      </c>
      <c r="T24" s="76"/>
      <c r="U24" s="113">
        <f>AVERAGE(E24:S24)</f>
        <v>18977692.108127855</v>
      </c>
    </row>
    <row r="25" spans="1:21" s="1" customFormat="1" ht="14.25" customHeight="1" x14ac:dyDescent="0.25">
      <c r="A25" s="11"/>
      <c r="B25" s="42">
        <f t="shared" si="0"/>
        <v>22</v>
      </c>
      <c r="C25" s="55"/>
      <c r="D25" s="436"/>
      <c r="E25" s="436"/>
      <c r="F25" s="436"/>
      <c r="G25" s="55"/>
      <c r="H25" s="83"/>
      <c r="I25" s="83"/>
      <c r="J25" s="83"/>
      <c r="K25" s="83"/>
      <c r="L25" s="83"/>
      <c r="M25" s="83"/>
      <c r="N25" s="83"/>
      <c r="O25" s="83"/>
      <c r="P25" s="83"/>
      <c r="Q25" s="83"/>
      <c r="R25" s="83"/>
      <c r="S25" s="83"/>
      <c r="T25" s="76"/>
      <c r="U25" s="113"/>
    </row>
    <row r="26" spans="1:21" s="1" customFormat="1" ht="14.25" customHeight="1" x14ac:dyDescent="0.25">
      <c r="A26" s="11"/>
      <c r="B26" s="42">
        <f t="shared" si="0"/>
        <v>23</v>
      </c>
      <c r="C26" s="55" t="s">
        <v>928</v>
      </c>
      <c r="D26" s="76">
        <f>D19/D24</f>
        <v>0.77172126669245655</v>
      </c>
      <c r="E26" s="76">
        <f>E19/E24</f>
        <v>0.78945983150342081</v>
      </c>
      <c r="F26" s="76">
        <f>F19/F24</f>
        <v>0.77634479910596432</v>
      </c>
      <c r="G26" s="76">
        <f>G19/G24</f>
        <v>0.77712466362995625</v>
      </c>
      <c r="H26" s="76">
        <f>H19/H24</f>
        <v>0.80088813612942078</v>
      </c>
      <c r="I26" s="76">
        <f t="shared" ref="I26:S26" si="6">I19/I24</f>
        <v>0.84733356091695622</v>
      </c>
      <c r="J26" s="76">
        <f t="shared" si="6"/>
        <v>0.85825961669840989</v>
      </c>
      <c r="K26" s="76">
        <f t="shared" si="6"/>
        <v>0.8616500714552342</v>
      </c>
      <c r="L26" s="76">
        <f t="shared" si="6"/>
        <v>0.86742738721985091</v>
      </c>
      <c r="M26" s="76">
        <f t="shared" si="6"/>
        <v>0.8264838773549108</v>
      </c>
      <c r="N26" s="76">
        <f t="shared" si="6"/>
        <v>0.85351713297245513</v>
      </c>
      <c r="O26" s="76">
        <f t="shared" si="6"/>
        <v>0.86954763021445425</v>
      </c>
      <c r="P26" s="76">
        <f t="shared" si="6"/>
        <v>0.8621603403149336</v>
      </c>
      <c r="Q26" s="76">
        <f t="shared" si="6"/>
        <v>0.88521572042660068</v>
      </c>
      <c r="R26" s="76">
        <f t="shared" si="6"/>
        <v>0.92027263978599305</v>
      </c>
      <c r="S26" s="76">
        <f t="shared" si="6"/>
        <v>0.87239790108869852</v>
      </c>
      <c r="T26" s="76"/>
      <c r="U26" s="541">
        <f>AVERAGE(E26:S26)</f>
        <v>0.84453888725448378</v>
      </c>
    </row>
    <row r="27" spans="1:21" s="1" customFormat="1" ht="14.25" customHeight="1" x14ac:dyDescent="0.25">
      <c r="A27" s="11"/>
      <c r="B27" s="42">
        <f t="shared" si="0"/>
        <v>24</v>
      </c>
      <c r="C27" s="55"/>
      <c r="D27" s="436"/>
      <c r="E27" s="55"/>
      <c r="F27" s="436"/>
      <c r="G27" s="55"/>
      <c r="H27" s="83"/>
      <c r="I27" s="83"/>
      <c r="J27" s="83"/>
      <c r="K27" s="83"/>
      <c r="L27" s="83"/>
      <c r="M27" s="83"/>
      <c r="N27" s="83"/>
      <c r="O27" s="83"/>
      <c r="P27" s="83"/>
      <c r="Q27" s="83"/>
      <c r="R27" s="83"/>
      <c r="S27" s="83"/>
      <c r="T27" s="76"/>
      <c r="U27" s="441"/>
    </row>
    <row r="28" spans="1:21" x14ac:dyDescent="0.25">
      <c r="B28" s="42">
        <f t="shared" si="0"/>
        <v>25</v>
      </c>
      <c r="C28" s="55" t="s">
        <v>929</v>
      </c>
      <c r="D28" s="437">
        <f>(D24-E24)/E24</f>
        <v>3.9099363684966228E-2</v>
      </c>
      <c r="E28" s="437">
        <f>(E24-F24)/F24</f>
        <v>1.6584347852942435E-2</v>
      </c>
      <c r="F28" s="437">
        <f>(F24-G24)/G24</f>
        <v>-8.3439451069964414E-3</v>
      </c>
      <c r="G28" s="437">
        <f>(G24-H24)/H24</f>
        <v>3.5790833887041386E-2</v>
      </c>
      <c r="H28" s="437">
        <f>(H24-I24)/I24</f>
        <v>5.893006328641158E-2</v>
      </c>
      <c r="I28" s="437">
        <f t="shared" ref="I28:R28" si="7">(I24-J24)/J24</f>
        <v>-2.5031514221181814E-2</v>
      </c>
      <c r="J28" s="437">
        <f t="shared" si="7"/>
        <v>1.8540338131431459E-2</v>
      </c>
      <c r="K28" s="437">
        <f t="shared" si="7"/>
        <v>9.7846916080419379E-3</v>
      </c>
      <c r="L28" s="437">
        <f t="shared" si="7"/>
        <v>-4.0186915503799242E-2</v>
      </c>
      <c r="M28" s="437">
        <f t="shared" si="7"/>
        <v>2.6349534686963855E-2</v>
      </c>
      <c r="N28" s="437">
        <f t="shared" si="7"/>
        <v>7.5660698831381667E-3</v>
      </c>
      <c r="O28" s="437">
        <f t="shared" si="7"/>
        <v>-2.1721191593935887E-2</v>
      </c>
      <c r="P28" s="437">
        <f t="shared" si="7"/>
        <v>3.516606279110894E-2</v>
      </c>
      <c r="Q28" s="437">
        <f t="shared" si="7"/>
        <v>-6.272400279162634E-3</v>
      </c>
      <c r="R28" s="437">
        <f t="shared" si="7"/>
        <v>-3.7209644840636331E-2</v>
      </c>
      <c r="S28" s="541">
        <f t="shared" ref="S28:S29" si="8">AVERAGE(B28:Q28)</f>
        <v>1.6764170226071313</v>
      </c>
      <c r="T28" s="751"/>
      <c r="U28" s="541">
        <f t="shared" ref="U28:U31" si="9">AVERAGE(E28:S28)</f>
        <v>0.11642422354589992</v>
      </c>
    </row>
    <row r="29" spans="1:21" x14ac:dyDescent="0.25">
      <c r="B29" s="42">
        <f t="shared" si="0"/>
        <v>26</v>
      </c>
      <c r="C29" s="55" t="s">
        <v>930</v>
      </c>
      <c r="D29" s="437">
        <f t="shared" ref="D29:I29" si="10">(D13-E13)/E13</f>
        <v>-8.3142535593019526E-3</v>
      </c>
      <c r="E29" s="437">
        <f t="shared" si="10"/>
        <v>-5.430556308458013E-3</v>
      </c>
      <c r="F29" s="437">
        <f t="shared" si="10"/>
        <v>4.5455595380980034E-2</v>
      </c>
      <c r="G29" s="437">
        <f t="shared" si="10"/>
        <v>5.5498821790741001E-3</v>
      </c>
      <c r="H29" s="437">
        <f t="shared" si="10"/>
        <v>5.5752082614623734E-3</v>
      </c>
      <c r="I29" s="437">
        <f t="shared" si="10"/>
        <v>-1.5015835354054329E-2</v>
      </c>
      <c r="J29" s="437">
        <f t="shared" ref="J29:R29" si="11">(J13-K13)/K13</f>
        <v>2.3821343399591251E-2</v>
      </c>
      <c r="K29" s="437">
        <f t="shared" si="11"/>
        <v>-1.2119032125257251E-2</v>
      </c>
      <c r="L29" s="437">
        <f t="shared" si="11"/>
        <v>8.9935713844844036E-4</v>
      </c>
      <c r="M29" s="437">
        <f t="shared" si="11"/>
        <v>-4.6463899750155682E-3</v>
      </c>
      <c r="N29" s="437">
        <f t="shared" si="11"/>
        <v>-1.3912985694803658E-2</v>
      </c>
      <c r="O29" s="437">
        <f t="shared" si="11"/>
        <v>-1.1234103874549933E-2</v>
      </c>
      <c r="P29" s="437">
        <f t="shared" si="11"/>
        <v>-2.8689093403220308E-3</v>
      </c>
      <c r="Q29" s="437">
        <f t="shared" si="11"/>
        <v>1.5942223546202009E-2</v>
      </c>
      <c r="R29" s="437">
        <f t="shared" si="11"/>
        <v>-2.5536466349483162E-2</v>
      </c>
      <c r="S29" s="541">
        <f t="shared" si="8"/>
        <v>1.734913436244933</v>
      </c>
      <c r="T29" s="751"/>
      <c r="U29" s="541">
        <f t="shared" si="9"/>
        <v>0.11609285114191649</v>
      </c>
    </row>
    <row r="30" spans="1:21" s="100" customFormat="1" x14ac:dyDescent="0.25">
      <c r="A30" s="420"/>
      <c r="B30" s="42">
        <f t="shared" si="0"/>
        <v>27</v>
      </c>
      <c r="C30" s="55" t="s">
        <v>931</v>
      </c>
      <c r="D30" s="439">
        <f>D13/D4</f>
        <v>39.8778178055043</v>
      </c>
      <c r="E30" s="439">
        <f>E13/E4</f>
        <v>40.596400534203305</v>
      </c>
      <c r="F30" s="439">
        <f t="shared" ref="F30:Q30" si="12">F13/F4</f>
        <v>41.124289998411186</v>
      </c>
      <c r="G30" s="439">
        <f t="shared" si="12"/>
        <v>39.666317865940357</v>
      </c>
      <c r="H30" s="439">
        <f t="shared" si="12"/>
        <v>39.713228659996474</v>
      </c>
      <c r="I30" s="439">
        <f t="shared" si="12"/>
        <v>39.737002794443569</v>
      </c>
      <c r="J30" s="439">
        <f t="shared" si="12"/>
        <v>40.719878577534793</v>
      </c>
      <c r="K30" s="439">
        <f t="shared" si="12"/>
        <v>40.200480154808531</v>
      </c>
      <c r="L30" s="439">
        <f t="shared" si="12"/>
        <v>41.045978331210989</v>
      </c>
      <c r="M30" s="439">
        <f t="shared" si="12"/>
        <v>41.305286010155697</v>
      </c>
      <c r="N30" s="439">
        <f t="shared" si="12"/>
        <v>41.755786400372358</v>
      </c>
      <c r="O30" s="439">
        <f t="shared" si="12"/>
        <v>42.862966393438235</v>
      </c>
      <c r="P30" s="439">
        <f t="shared" si="12"/>
        <v>44.488258241758238</v>
      </c>
      <c r="Q30" s="439">
        <f t="shared" si="12"/>
        <v>45.027193230526954</v>
      </c>
      <c r="R30" s="439">
        <f t="shared" ref="R30:S30" si="13">R13/R4</f>
        <v>45.464943117178613</v>
      </c>
      <c r="S30" s="439">
        <f t="shared" si="13"/>
        <v>47.972768107804605</v>
      </c>
      <c r="T30" s="439"/>
      <c r="U30" s="439">
        <f t="shared" si="9"/>
        <v>42.11205189451892</v>
      </c>
    </row>
    <row r="31" spans="1:21" s="100" customFormat="1" x14ac:dyDescent="0.25">
      <c r="A31" s="420"/>
      <c r="B31" s="42">
        <f t="shared" si="0"/>
        <v>28</v>
      </c>
      <c r="C31" s="55" t="s">
        <v>932</v>
      </c>
      <c r="D31" s="437">
        <f t="shared" ref="D31:I31" si="14">(D30-E30)/E30</f>
        <v>-1.7700651270636272E-2</v>
      </c>
      <c r="E31" s="437">
        <f t="shared" si="14"/>
        <v>-1.2836439589067088E-2</v>
      </c>
      <c r="F31" s="437">
        <f t="shared" si="14"/>
        <v>3.6755923183954577E-2</v>
      </c>
      <c r="G31" s="437">
        <f t="shared" si="14"/>
        <v>-1.1812384849829904E-3</v>
      </c>
      <c r="H31" s="437">
        <f t="shared" si="14"/>
        <v>-5.9828705677870335E-4</v>
      </c>
      <c r="I31" s="437">
        <f t="shared" si="14"/>
        <v>-2.4137492974585579E-2</v>
      </c>
      <c r="J31" s="437">
        <f t="shared" ref="J31:R31" si="15">(J30-K30)/K30</f>
        <v>1.2920204453431996E-2</v>
      </c>
      <c r="K31" s="437">
        <f t="shared" si="15"/>
        <v>-2.0598806771759876E-2</v>
      </c>
      <c r="L31" s="437">
        <f t="shared" si="15"/>
        <v>-6.27783279072205E-3</v>
      </c>
      <c r="M31" s="437">
        <f t="shared" si="15"/>
        <v>-1.078893320070828E-2</v>
      </c>
      <c r="N31" s="437">
        <f t="shared" si="15"/>
        <v>-2.5830689899133345E-2</v>
      </c>
      <c r="O31" s="437">
        <f t="shared" si="15"/>
        <v>-3.653305192322516E-2</v>
      </c>
      <c r="P31" s="437">
        <f t="shared" si="15"/>
        <v>-1.1969100228155814E-2</v>
      </c>
      <c r="Q31" s="437">
        <f t="shared" si="15"/>
        <v>-9.6282950475364872E-3</v>
      </c>
      <c r="R31" s="437">
        <f t="shared" si="15"/>
        <v>-5.2276011777981968E-2</v>
      </c>
      <c r="S31" s="437" t="s">
        <v>12</v>
      </c>
      <c r="T31" s="541"/>
      <c r="U31" s="541">
        <f t="shared" si="9"/>
        <v>-1.1641432293375054E-2</v>
      </c>
    </row>
    <row r="32" spans="1:21" s="100" customFormat="1" x14ac:dyDescent="0.25">
      <c r="A32" s="420"/>
      <c r="B32" s="435"/>
      <c r="C32" s="370"/>
      <c r="D32" s="154"/>
      <c r="E32" s="370"/>
      <c r="F32" s="154"/>
      <c r="G32" s="370"/>
      <c r="H32" s="380"/>
      <c r="I32" s="380"/>
      <c r="J32" s="155"/>
      <c r="K32" s="380"/>
      <c r="L32" s="380"/>
      <c r="M32" s="380"/>
      <c r="N32" s="380"/>
      <c r="O32" s="380"/>
      <c r="P32" s="380"/>
      <c r="Q32" s="380"/>
      <c r="R32" s="380"/>
      <c r="S32" s="380"/>
      <c r="U32" s="380"/>
    </row>
    <row r="33" spans="1:19" s="100" customFormat="1" x14ac:dyDescent="0.25">
      <c r="A33" s="420"/>
      <c r="B33" s="202" t="s">
        <v>933</v>
      </c>
      <c r="C33" s="370"/>
      <c r="D33" s="154"/>
      <c r="E33" s="370"/>
      <c r="F33" s="154"/>
      <c r="G33" s="370"/>
    </row>
    <row r="34" spans="1:19" x14ac:dyDescent="0.25">
      <c r="B34" s="65" t="s">
        <v>934</v>
      </c>
      <c r="H34" s="606"/>
    </row>
    <row r="35" spans="1:19" x14ac:dyDescent="0.25">
      <c r="B35" s="65" t="s">
        <v>935</v>
      </c>
    </row>
    <row r="36" spans="1:19" ht="15.75" customHeight="1" x14ac:dyDescent="0.25">
      <c r="G36" s="744"/>
      <c r="H36" s="744"/>
      <c r="I36" s="744"/>
      <c r="J36" s="744"/>
      <c r="K36" s="744"/>
      <c r="L36" s="744"/>
      <c r="M36" s="744"/>
      <c r="N36" s="744"/>
      <c r="O36" s="744"/>
      <c r="P36" s="744"/>
      <c r="Q36" s="744"/>
      <c r="R36" s="744"/>
      <c r="S36" s="744"/>
    </row>
  </sheetData>
  <hyperlinks>
    <hyperlink ref="B35" r:id="rId1" xr:uid="{ABAA3383-6137-4D7E-8B8F-8F2E55B6D6E7}"/>
    <hyperlink ref="B34" r:id="rId2" xr:uid="{DD27B970-C511-4C44-93CD-64C4D8FDE159}"/>
  </hyperlinks>
  <pageMargins left="0.7" right="0.7" top="0.75" bottom="0.75" header="0.3" footer="0.3"/>
  <pageSetup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DBFC-D46A-4E1A-9506-B32AD2E6CCD9}">
  <sheetPr>
    <tabColor rgb="FFD6DCE4"/>
  </sheetPr>
  <dimension ref="A1:P70"/>
  <sheetViews>
    <sheetView showGridLines="0" workbookViewId="0">
      <selection activeCell="D22" sqref="D22"/>
    </sheetView>
  </sheetViews>
  <sheetFormatPr defaultColWidth="9.140625" defaultRowHeight="15" x14ac:dyDescent="0.25"/>
  <cols>
    <col min="1" max="1" width="2.7109375" style="4" customWidth="1"/>
    <col min="3" max="3" width="28.140625" customWidth="1"/>
    <col min="4" max="10" width="11.7109375" customWidth="1"/>
    <col min="11" max="11" width="12.7109375" customWidth="1"/>
    <col min="12" max="12" width="19" customWidth="1"/>
  </cols>
  <sheetData>
    <row r="1" spans="1:16" s="9" customFormat="1" ht="9.75" customHeight="1" x14ac:dyDescent="0.25">
      <c r="B1" s="80"/>
    </row>
    <row r="2" spans="1:16" s="401" customFormat="1" ht="26.25" x14ac:dyDescent="0.25">
      <c r="A2" s="59"/>
      <c r="B2" s="50" t="s">
        <v>887</v>
      </c>
    </row>
    <row r="3" spans="1:16" s="255" customFormat="1" ht="14.25" customHeight="1" x14ac:dyDescent="0.25">
      <c r="A3" s="398"/>
      <c r="B3" s="258" t="s">
        <v>13</v>
      </c>
      <c r="C3" s="399" t="s">
        <v>55</v>
      </c>
      <c r="D3" s="400" t="s">
        <v>470</v>
      </c>
      <c r="E3" s="400" t="s">
        <v>471</v>
      </c>
      <c r="F3" s="400" t="s">
        <v>472</v>
      </c>
      <c r="G3" s="433" t="s">
        <v>856</v>
      </c>
      <c r="H3" s="433" t="s">
        <v>857</v>
      </c>
      <c r="I3" s="400" t="s">
        <v>456</v>
      </c>
      <c r="J3" s="433" t="s">
        <v>888</v>
      </c>
      <c r="K3" s="433" t="s">
        <v>830</v>
      </c>
    </row>
    <row r="4" spans="1:16" s="255" customFormat="1" ht="14.25" customHeight="1" x14ac:dyDescent="0.25">
      <c r="A4" s="398"/>
      <c r="B4" s="56">
        <v>1</v>
      </c>
      <c r="C4" s="66" t="s">
        <v>889</v>
      </c>
      <c r="D4" s="494">
        <f>'28-Deliveries'!D7</f>
        <v>61835</v>
      </c>
      <c r="E4" s="494">
        <f>'28-Deliveries'!D8</f>
        <v>4280</v>
      </c>
      <c r="F4" s="494">
        <f>'28-Deliveries'!D9</f>
        <v>299</v>
      </c>
      <c r="G4" s="495">
        <f>'28-Deliveries'!D13</f>
        <v>1073</v>
      </c>
      <c r="H4" s="495">
        <f>'28-Deliveries'!D14</f>
        <v>223</v>
      </c>
      <c r="I4" s="496">
        <f>'28-Deliveries'!D10</f>
        <v>255</v>
      </c>
      <c r="J4" s="497">
        <f>'28-Deliveries'!D15</f>
        <v>4</v>
      </c>
      <c r="K4" s="389">
        <f>SUM(D4:J4)</f>
        <v>67969</v>
      </c>
    </row>
    <row r="5" spans="1:16" ht="14.25" customHeight="1" x14ac:dyDescent="0.25">
      <c r="A5" s="3"/>
      <c r="B5" s="56">
        <f t="shared" ref="B5:B16" si="0">+B4+1</f>
        <v>2</v>
      </c>
      <c r="C5" s="388" t="s">
        <v>890</v>
      </c>
      <c r="D5" s="389">
        <f>'28-Deliveries'!H7</f>
        <v>2875800</v>
      </c>
      <c r="E5" s="389">
        <f>'28-Deliveries'!H8</f>
        <v>1497438</v>
      </c>
      <c r="F5" s="389">
        <f>'28-Deliveries'!H9</f>
        <v>947300</v>
      </c>
      <c r="G5" s="389">
        <f>'28-Deliveries'!H13</f>
        <v>7242</v>
      </c>
      <c r="H5" s="443">
        <v>0</v>
      </c>
      <c r="I5" s="390">
        <f>'28-Deliveries'!H10</f>
        <v>152765</v>
      </c>
      <c r="J5" s="390">
        <f>'28-Deliveries'!H15</f>
        <v>208293</v>
      </c>
      <c r="K5" s="389">
        <f>SUM(D5:J5)</f>
        <v>5688838</v>
      </c>
      <c r="L5" t="s">
        <v>12</v>
      </c>
      <c r="M5" s="401"/>
      <c r="N5" s="401"/>
      <c r="O5" s="401"/>
      <c r="P5" s="401"/>
    </row>
    <row r="6" spans="1:16" ht="14.25" customHeight="1" x14ac:dyDescent="0.25">
      <c r="A6" s="3"/>
      <c r="B6" s="56">
        <f t="shared" si="0"/>
        <v>3</v>
      </c>
      <c r="C6" s="388" t="s">
        <v>891</v>
      </c>
      <c r="D6" s="389">
        <f>'17-Revenues'!E7</f>
        <v>31302819</v>
      </c>
      <c r="E6" s="443">
        <f>'17-Revenues'!E8</f>
        <v>7931984</v>
      </c>
      <c r="F6" s="443">
        <f>'17-Revenues'!E9</f>
        <v>3965115</v>
      </c>
      <c r="G6" s="445">
        <f>'17-Revenues'!E16</f>
        <v>1723656</v>
      </c>
      <c r="H6" s="389">
        <f>'17-Revenues'!E15</f>
        <v>1309854</v>
      </c>
      <c r="I6" s="444">
        <f>'17-Revenues'!E10</f>
        <v>734936</v>
      </c>
      <c r="J6" s="390">
        <f>'17-Revenues'!E22</f>
        <v>1177463</v>
      </c>
      <c r="K6" s="389">
        <f>SUM(D6:J6)</f>
        <v>48145827</v>
      </c>
      <c r="M6" s="428"/>
      <c r="N6" s="401"/>
      <c r="O6" s="401"/>
      <c r="P6" s="401"/>
    </row>
    <row r="7" spans="1:16" ht="14.25" customHeight="1" x14ac:dyDescent="0.25">
      <c r="A7" s="3"/>
      <c r="B7" s="56">
        <f t="shared" si="0"/>
        <v>4</v>
      </c>
      <c r="C7" s="388" t="s">
        <v>892</v>
      </c>
      <c r="D7" s="447" t="s">
        <v>369</v>
      </c>
      <c r="E7" s="447" t="s">
        <v>369</v>
      </c>
      <c r="F7" s="447" t="s">
        <v>369</v>
      </c>
      <c r="G7" s="447" t="s">
        <v>369</v>
      </c>
      <c r="H7" s="446">
        <f>H5/$K$5</f>
        <v>0</v>
      </c>
      <c r="I7" s="391">
        <f>I5/$K$5</f>
        <v>2.685346286886707E-2</v>
      </c>
      <c r="J7" s="485">
        <f>J5/$K$5</f>
        <v>3.6614331432886643E-2</v>
      </c>
      <c r="K7" s="391">
        <f>K5/$K$5</f>
        <v>1</v>
      </c>
      <c r="M7" s="428"/>
      <c r="N7" s="401"/>
      <c r="O7" s="401"/>
      <c r="P7" s="401"/>
    </row>
    <row r="8" spans="1:16" ht="14.25" customHeight="1" x14ac:dyDescent="0.25">
      <c r="A8" s="3"/>
      <c r="B8" s="56">
        <f t="shared" si="0"/>
        <v>5</v>
      </c>
      <c r="C8" s="388" t="s">
        <v>893</v>
      </c>
      <c r="D8" s="447" t="s">
        <v>369</v>
      </c>
      <c r="E8" s="447" t="s">
        <v>369</v>
      </c>
      <c r="F8" s="447" t="s">
        <v>369</v>
      </c>
      <c r="G8" s="447" t="s">
        <v>369</v>
      </c>
      <c r="H8" s="446">
        <f>H6/$K$6</f>
        <v>2.7205971558033473E-2</v>
      </c>
      <c r="I8" s="446">
        <f>I6/$K$6</f>
        <v>1.526479127671854E-2</v>
      </c>
      <c r="J8" s="486">
        <f>J6/$K$6</f>
        <v>2.4456179764032301E-2</v>
      </c>
      <c r="K8" s="391">
        <f>K6/$K$6</f>
        <v>1</v>
      </c>
      <c r="M8" s="401"/>
      <c r="N8" s="401"/>
      <c r="O8" s="401"/>
      <c r="P8" s="401"/>
    </row>
    <row r="9" spans="1:16" ht="14.25" customHeight="1" x14ac:dyDescent="0.25">
      <c r="B9" s="56">
        <f t="shared" si="0"/>
        <v>6</v>
      </c>
      <c r="C9" s="392"/>
      <c r="D9" s="393"/>
      <c r="E9" s="393"/>
      <c r="F9" s="393"/>
      <c r="G9" s="393"/>
      <c r="H9" s="393"/>
      <c r="I9" s="431"/>
      <c r="J9" s="431"/>
      <c r="K9" s="393"/>
      <c r="M9" s="401"/>
      <c r="N9" s="401"/>
      <c r="O9" s="401"/>
      <c r="P9" s="401"/>
    </row>
    <row r="10" spans="1:16" ht="14.25" customHeight="1" x14ac:dyDescent="0.25">
      <c r="A10" s="3"/>
      <c r="B10" s="56">
        <f t="shared" si="0"/>
        <v>7</v>
      </c>
      <c r="C10" s="394" t="s">
        <v>894</v>
      </c>
      <c r="D10" s="395"/>
      <c r="E10" s="395"/>
      <c r="F10" s="395"/>
      <c r="G10" s="395"/>
      <c r="H10" s="395"/>
      <c r="I10" s="434"/>
      <c r="J10" s="432"/>
      <c r="K10" s="395"/>
      <c r="M10" s="401"/>
      <c r="N10" s="401"/>
      <c r="O10" s="401"/>
      <c r="P10" s="401"/>
    </row>
    <row r="11" spans="1:16" ht="14.25" customHeight="1" x14ac:dyDescent="0.25">
      <c r="A11" s="3"/>
      <c r="B11" s="56">
        <f t="shared" si="0"/>
        <v>8</v>
      </c>
      <c r="C11" s="388" t="s">
        <v>895</v>
      </c>
      <c r="D11" s="447" t="s">
        <v>369</v>
      </c>
      <c r="E11" s="447" t="s">
        <v>369</v>
      </c>
      <c r="F11" s="447" t="s">
        <v>369</v>
      </c>
      <c r="G11" s="447" t="s">
        <v>369</v>
      </c>
      <c r="H11" s="396" t="s">
        <v>12</v>
      </c>
      <c r="I11" s="432">
        <f>I6/I5</f>
        <v>4.8108925473766897</v>
      </c>
      <c r="J11" s="432">
        <f t="shared" ref="J11" si="1">J6/J5</f>
        <v>5.6529168046933886</v>
      </c>
      <c r="K11" s="395">
        <f>K6/K5</f>
        <v>8.4632093583962131</v>
      </c>
      <c r="L11" t="s">
        <v>12</v>
      </c>
      <c r="M11" s="401"/>
      <c r="N11" s="401"/>
      <c r="O11" s="401"/>
      <c r="P11" s="401"/>
    </row>
    <row r="12" spans="1:16" ht="14.25" customHeight="1" x14ac:dyDescent="0.25">
      <c r="A12" s="3"/>
      <c r="B12" s="56">
        <f t="shared" si="0"/>
        <v>9</v>
      </c>
      <c r="C12" s="388" t="s">
        <v>896</v>
      </c>
      <c r="D12" s="395">
        <v>1</v>
      </c>
      <c r="E12" s="447" t="s">
        <v>369</v>
      </c>
      <c r="F12" s="447" t="s">
        <v>369</v>
      </c>
      <c r="G12" s="447" t="s">
        <v>369</v>
      </c>
      <c r="H12" s="396" t="s">
        <v>12</v>
      </c>
      <c r="I12" s="395">
        <v>0.44</v>
      </c>
      <c r="J12" s="432">
        <v>0.52</v>
      </c>
      <c r="K12" s="395">
        <v>0.78</v>
      </c>
    </row>
    <row r="13" spans="1:16" ht="14.25" customHeight="1" x14ac:dyDescent="0.25">
      <c r="A13" s="3"/>
      <c r="B13" s="56">
        <f t="shared" si="0"/>
        <v>10</v>
      </c>
      <c r="C13" s="388"/>
      <c r="D13" s="395"/>
      <c r="E13" s="395"/>
      <c r="F13" s="432"/>
      <c r="G13" s="395"/>
      <c r="H13" s="395"/>
      <c r="I13" s="432"/>
      <c r="J13" s="432"/>
      <c r="K13" s="395"/>
    </row>
    <row r="14" spans="1:16" ht="14.25" customHeight="1" x14ac:dyDescent="0.25">
      <c r="A14" s="3"/>
      <c r="B14" s="56">
        <f t="shared" si="0"/>
        <v>11</v>
      </c>
      <c r="C14" s="388" t="s">
        <v>897</v>
      </c>
      <c r="D14" s="389"/>
      <c r="E14" s="389"/>
      <c r="F14" s="390"/>
      <c r="G14" s="389"/>
      <c r="H14" s="389"/>
      <c r="I14" s="390"/>
      <c r="J14" s="390"/>
      <c r="K14" s="443"/>
    </row>
    <row r="15" spans="1:16" ht="14.25" customHeight="1" x14ac:dyDescent="0.25">
      <c r="A15" s="3"/>
      <c r="B15" s="56">
        <f t="shared" si="0"/>
        <v>12</v>
      </c>
      <c r="C15" s="388" t="s">
        <v>898</v>
      </c>
      <c r="D15" s="397">
        <f>D5*$K$11</f>
        <v>24338497.47287583</v>
      </c>
      <c r="E15" s="397">
        <f>E5*$K$11</f>
        <v>12673131.295218108</v>
      </c>
      <c r="F15" s="397">
        <f>F5*$K$11</f>
        <v>8017198.2252087323</v>
      </c>
      <c r="G15" s="397">
        <f>G5*$K$11</f>
        <v>61290.562173505372</v>
      </c>
      <c r="H15" s="397">
        <f t="shared" ref="H15" si="2">H5*$K$11</f>
        <v>0</v>
      </c>
      <c r="I15" s="429">
        <f>I5*$K$11</f>
        <v>1292882.1776353975</v>
      </c>
      <c r="J15" s="429">
        <f>J5*$K$11</f>
        <v>1762827.2668884224</v>
      </c>
      <c r="K15" s="481">
        <f>SUM(D15:J15)</f>
        <v>48145826.999999993</v>
      </c>
      <c r="L15" s="382" t="s">
        <v>12</v>
      </c>
    </row>
    <row r="16" spans="1:16" ht="14.25" customHeight="1" x14ac:dyDescent="0.25">
      <c r="A16" s="3"/>
      <c r="B16" s="56">
        <f t="shared" si="0"/>
        <v>13</v>
      </c>
      <c r="C16" s="388" t="s">
        <v>899</v>
      </c>
      <c r="D16" s="389">
        <f t="shared" ref="D16:H16" si="3">D15-D6</f>
        <v>-6964321.5271241702</v>
      </c>
      <c r="E16" s="389">
        <f t="shared" si="3"/>
        <v>4741147.2952181082</v>
      </c>
      <c r="F16" s="389">
        <f t="shared" si="3"/>
        <v>4052083.2252087323</v>
      </c>
      <c r="G16" s="389">
        <f t="shared" si="3"/>
        <v>-1662365.4378264947</v>
      </c>
      <c r="H16" s="389">
        <f t="shared" si="3"/>
        <v>-1309854</v>
      </c>
      <c r="I16" s="390">
        <f>I15-I6</f>
        <v>557946.17763539753</v>
      </c>
      <c r="J16" s="390">
        <f t="shared" ref="J16" si="4">J15-J6</f>
        <v>585364.26688842243</v>
      </c>
      <c r="K16" s="482">
        <f>SUM(D16:J16)</f>
        <v>-4.4237822294235229E-9</v>
      </c>
      <c r="L16" s="382"/>
    </row>
    <row r="17" spans="1:12" x14ac:dyDescent="0.25">
      <c r="A17" s="3"/>
      <c r="B17" s="107"/>
      <c r="C17" s="148"/>
      <c r="D17" s="333"/>
      <c r="E17" s="332" t="s">
        <v>12</v>
      </c>
      <c r="F17" s="332"/>
      <c r="G17" s="332"/>
      <c r="H17" s="332"/>
      <c r="I17" s="332"/>
      <c r="J17" s="332"/>
      <c r="K17" s="426" t="s">
        <v>12</v>
      </c>
      <c r="L17" s="382" t="s">
        <v>900</v>
      </c>
    </row>
    <row r="18" spans="1:12" x14ac:dyDescent="0.25">
      <c r="A18" s="3"/>
      <c r="B18" s="148" t="s">
        <v>901</v>
      </c>
      <c r="G18" s="382"/>
      <c r="K18" t="s">
        <v>902</v>
      </c>
      <c r="L18" s="382"/>
    </row>
    <row r="19" spans="1:12" x14ac:dyDescent="0.25">
      <c r="A19" s="3"/>
      <c r="G19" t="s">
        <v>12</v>
      </c>
    </row>
    <row r="20" spans="1:12" x14ac:dyDescent="0.25">
      <c r="A20" s="3"/>
      <c r="K20" s="427"/>
    </row>
    <row r="21" spans="1:12" x14ac:dyDescent="0.25">
      <c r="A21" s="3"/>
      <c r="C21" t="s">
        <v>12</v>
      </c>
      <c r="D21" s="381" t="s">
        <v>12</v>
      </c>
      <c r="K21" s="375"/>
    </row>
    <row r="22" spans="1:12" x14ac:dyDescent="0.25">
      <c r="A22" s="3"/>
      <c r="D22" t="s">
        <v>12</v>
      </c>
    </row>
    <row r="23" spans="1:12" x14ac:dyDescent="0.25">
      <c r="A23" s="3"/>
    </row>
    <row r="24" spans="1:12" x14ac:dyDescent="0.25">
      <c r="A24" s="3"/>
    </row>
    <row r="25" spans="1:12" x14ac:dyDescent="0.25">
      <c r="A25" s="3"/>
    </row>
    <row r="26" spans="1:12" x14ac:dyDescent="0.25">
      <c r="A26" s="3"/>
    </row>
    <row r="27" spans="1:12" x14ac:dyDescent="0.25">
      <c r="A27" s="3"/>
    </row>
    <row r="28" spans="1:12" x14ac:dyDescent="0.25">
      <c r="A28" s="3"/>
    </row>
    <row r="29" spans="1:12" x14ac:dyDescent="0.25">
      <c r="A29" s="3"/>
    </row>
    <row r="30" spans="1:12" x14ac:dyDescent="0.25">
      <c r="A30" s="3"/>
    </row>
    <row r="31" spans="1:12" x14ac:dyDescent="0.25">
      <c r="A31" s="3"/>
    </row>
    <row r="32" spans="1:12" x14ac:dyDescent="0.25">
      <c r="A32" s="3"/>
    </row>
    <row r="33" spans="1:1" x14ac:dyDescent="0.25">
      <c r="A33" s="3"/>
    </row>
    <row r="34" spans="1:1" x14ac:dyDescent="0.25">
      <c r="A34" s="3"/>
    </row>
    <row r="35" spans="1:1" x14ac:dyDescent="0.25">
      <c r="A35" s="3"/>
    </row>
    <row r="36" spans="1:1" x14ac:dyDescent="0.25">
      <c r="A36" s="3"/>
    </row>
    <row r="37" spans="1:1" x14ac:dyDescent="0.25">
      <c r="A37" s="3"/>
    </row>
    <row r="38" spans="1:1" x14ac:dyDescent="0.25">
      <c r="A38" s="3"/>
    </row>
    <row r="39" spans="1:1" x14ac:dyDescent="0.25">
      <c r="A39" s="3"/>
    </row>
    <row r="40" spans="1:1" x14ac:dyDescent="0.25">
      <c r="A40" s="3"/>
    </row>
    <row r="41" spans="1:1" x14ac:dyDescent="0.25">
      <c r="A41" s="3"/>
    </row>
    <row r="42" spans="1:1" x14ac:dyDescent="0.25">
      <c r="A42"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69" spans="1:1" x14ac:dyDescent="0.25">
      <c r="A69" s="3"/>
    </row>
    <row r="70" spans="1:1" x14ac:dyDescent="0.25">
      <c r="A70" s="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3D1D-5AD2-409F-8F6A-F3F0A7A03DBB}">
  <sheetPr>
    <tabColor rgb="FFD6DCE4"/>
  </sheetPr>
  <dimension ref="A1:P75"/>
  <sheetViews>
    <sheetView showGridLines="0" topLeftCell="A4" workbookViewId="0"/>
  </sheetViews>
  <sheetFormatPr defaultColWidth="8.85546875" defaultRowHeight="15" x14ac:dyDescent="0.25"/>
  <cols>
    <col min="1" max="1" width="2.7109375" style="4" customWidth="1"/>
    <col min="3" max="3" width="24.7109375" style="377" customWidth="1"/>
    <col min="4" max="10" width="11.7109375" style="377" customWidth="1"/>
    <col min="11" max="11" width="2.140625" customWidth="1"/>
    <col min="12" max="12" width="11.7109375" customWidth="1"/>
    <col min="13" max="13" width="10.7109375" bestFit="1" customWidth="1"/>
  </cols>
  <sheetData>
    <row r="1" spans="1:13" s="9" customFormat="1" ht="9.75" customHeight="1" x14ac:dyDescent="0.25">
      <c r="B1" s="80"/>
    </row>
    <row r="2" spans="1:13" ht="26.25" x14ac:dyDescent="0.25">
      <c r="A2" s="20"/>
      <c r="B2" s="50" t="s">
        <v>936</v>
      </c>
    </row>
    <row r="3" spans="1:13" s="531" customFormat="1" ht="14.25" customHeight="1" x14ac:dyDescent="0.2">
      <c r="A3" s="3"/>
      <c r="B3" s="712" t="s">
        <v>13</v>
      </c>
      <c r="C3" s="549"/>
      <c r="D3" s="550" t="s">
        <v>470</v>
      </c>
      <c r="E3" s="550" t="s">
        <v>471</v>
      </c>
      <c r="F3" s="550" t="s">
        <v>472</v>
      </c>
      <c r="G3" s="550" t="s">
        <v>924</v>
      </c>
      <c r="H3" s="550" t="s">
        <v>937</v>
      </c>
      <c r="I3" s="550" t="s">
        <v>456</v>
      </c>
      <c r="J3" s="550" t="s">
        <v>888</v>
      </c>
      <c r="K3" s="543"/>
      <c r="L3" s="543" t="s">
        <v>830</v>
      </c>
    </row>
    <row r="4" spans="1:13" s="531" customFormat="1" ht="14.25" customHeight="1" x14ac:dyDescent="0.2">
      <c r="A4" s="3"/>
      <c r="B4" s="56">
        <v>1</v>
      </c>
      <c r="C4" s="551" t="s">
        <v>938</v>
      </c>
      <c r="D4" s="552"/>
      <c r="E4" s="551"/>
      <c r="F4" s="551"/>
      <c r="G4" s="551"/>
      <c r="H4" s="551"/>
      <c r="I4" s="551"/>
      <c r="J4" s="551"/>
      <c r="K4" s="388"/>
      <c r="L4" s="388"/>
    </row>
    <row r="5" spans="1:13" s="531" customFormat="1" ht="14.25" customHeight="1" x14ac:dyDescent="0.2">
      <c r="A5" s="3"/>
      <c r="B5" s="56">
        <f>B4+1</f>
        <v>2</v>
      </c>
      <c r="C5" s="551" t="s">
        <v>939</v>
      </c>
      <c r="D5" s="553">
        <v>9.0166819999999995E-2</v>
      </c>
      <c r="E5" s="553">
        <v>5.4749150000000003E-2</v>
      </c>
      <c r="F5" s="553">
        <v>7.3563600000000002E-3</v>
      </c>
      <c r="G5" s="554" t="s">
        <v>12</v>
      </c>
      <c r="H5" s="554" t="s">
        <v>12</v>
      </c>
      <c r="I5" s="554"/>
      <c r="J5" s="554" t="s">
        <v>12</v>
      </c>
      <c r="K5" s="388"/>
      <c r="L5" s="555">
        <f>SUM(D5:J5)</f>
        <v>0.15227233000000001</v>
      </c>
    </row>
    <row r="6" spans="1:13" s="531" customFormat="1" ht="14.25" customHeight="1" x14ac:dyDescent="0.2">
      <c r="A6" s="3"/>
      <c r="B6" s="56">
        <f t="shared" ref="B6:B8" si="0">B5+1</f>
        <v>3</v>
      </c>
      <c r="C6" s="551" t="s">
        <v>940</v>
      </c>
      <c r="D6" s="553">
        <v>0.24</v>
      </c>
      <c r="E6" s="553">
        <v>0.06</v>
      </c>
      <c r="F6" s="553">
        <v>3.5000000000000003E-2</v>
      </c>
      <c r="G6" s="554" t="s">
        <v>12</v>
      </c>
      <c r="H6" s="554" t="s">
        <v>12</v>
      </c>
      <c r="I6" s="554"/>
      <c r="J6" s="554" t="s">
        <v>12</v>
      </c>
      <c r="K6" s="388"/>
      <c r="L6" s="555">
        <f t="shared" ref="L6:L11" si="1">SUM(D6:J6)</f>
        <v>0.33499999999999996</v>
      </c>
      <c r="M6" s="531" t="s">
        <v>12</v>
      </c>
    </row>
    <row r="7" spans="1:13" s="531" customFormat="1" ht="14.25" customHeight="1" x14ac:dyDescent="0.2">
      <c r="A7" s="3"/>
      <c r="B7" s="56">
        <f t="shared" si="0"/>
        <v>4</v>
      </c>
      <c r="C7" s="551" t="s">
        <v>918</v>
      </c>
      <c r="D7" s="553">
        <v>0.16</v>
      </c>
      <c r="E7" s="553">
        <v>0.04</v>
      </c>
      <c r="F7" s="553">
        <v>0.03</v>
      </c>
      <c r="G7" s="554" t="s">
        <v>12</v>
      </c>
      <c r="H7" s="554" t="s">
        <v>12</v>
      </c>
      <c r="I7" s="554"/>
      <c r="J7" s="554" t="s">
        <v>12</v>
      </c>
      <c r="K7" s="388"/>
      <c r="L7" s="555">
        <f t="shared" si="1"/>
        <v>0.23</v>
      </c>
    </row>
    <row r="8" spans="1:13" s="531" customFormat="1" ht="14.25" customHeight="1" x14ac:dyDescent="0.2">
      <c r="A8" s="3"/>
      <c r="B8" s="56">
        <f t="shared" si="0"/>
        <v>5</v>
      </c>
      <c r="C8" s="551" t="s">
        <v>941</v>
      </c>
      <c r="D8" s="553">
        <v>0.16</v>
      </c>
      <c r="E8" s="553">
        <v>0.01</v>
      </c>
      <c r="F8" s="553">
        <v>0.01</v>
      </c>
      <c r="G8" s="554"/>
      <c r="H8" s="554"/>
      <c r="I8" s="554"/>
      <c r="J8" s="554"/>
      <c r="K8" s="388"/>
      <c r="L8" s="555">
        <f t="shared" si="1"/>
        <v>0.18000000000000002</v>
      </c>
    </row>
    <row r="9" spans="1:13" s="531" customFormat="1" ht="14.25" customHeight="1" x14ac:dyDescent="0.2">
      <c r="A9" s="3"/>
      <c r="B9" s="56">
        <f>B8+1</f>
        <v>6</v>
      </c>
      <c r="C9" s="551" t="s">
        <v>942</v>
      </c>
      <c r="D9" s="554"/>
      <c r="E9" s="554"/>
      <c r="F9" s="554"/>
      <c r="G9" s="553">
        <v>3.5800739999999998E-2</v>
      </c>
      <c r="H9" s="553">
        <v>2.7205969999999999E-2</v>
      </c>
      <c r="I9" s="554"/>
      <c r="J9" s="554"/>
      <c r="K9" s="388"/>
      <c r="L9" s="555">
        <f t="shared" si="1"/>
        <v>6.3006709999999994E-2</v>
      </c>
    </row>
    <row r="10" spans="1:13" s="531" customFormat="1" ht="14.25" customHeight="1" x14ac:dyDescent="0.2">
      <c r="A10" s="3"/>
      <c r="B10" s="56">
        <f t="shared" ref="B10:B22" si="2">B9+1</f>
        <v>7</v>
      </c>
      <c r="C10" s="551" t="s">
        <v>456</v>
      </c>
      <c r="D10" s="554"/>
      <c r="E10" s="554"/>
      <c r="F10" s="554"/>
      <c r="G10" s="554"/>
      <c r="H10" s="554"/>
      <c r="I10" s="553">
        <v>1.526479E-2</v>
      </c>
      <c r="J10" s="554"/>
      <c r="K10" s="388"/>
      <c r="L10" s="555">
        <f t="shared" si="1"/>
        <v>1.526479E-2</v>
      </c>
    </row>
    <row r="11" spans="1:13" s="531" customFormat="1" ht="14.25" customHeight="1" x14ac:dyDescent="0.2">
      <c r="A11" s="3"/>
      <c r="B11" s="56">
        <f t="shared" si="2"/>
        <v>8</v>
      </c>
      <c r="C11" s="551" t="s">
        <v>888</v>
      </c>
      <c r="D11" s="554"/>
      <c r="E11" s="554"/>
      <c r="F11" s="554"/>
      <c r="G11" s="554"/>
      <c r="H11" s="554"/>
      <c r="I11" s="554"/>
      <c r="J11" s="556">
        <v>2.4456180000000001E-2</v>
      </c>
      <c r="K11" s="388"/>
      <c r="L11" s="555">
        <f t="shared" si="1"/>
        <v>2.4456180000000001E-2</v>
      </c>
    </row>
    <row r="12" spans="1:13" s="531" customFormat="1" ht="14.25" customHeight="1" x14ac:dyDescent="0.2">
      <c r="A12" s="3"/>
      <c r="B12" s="56">
        <f t="shared" si="2"/>
        <v>9</v>
      </c>
      <c r="C12" s="551" t="s">
        <v>830</v>
      </c>
      <c r="D12" s="556">
        <f>SUM(D5:D11)</f>
        <v>0.65016682000000003</v>
      </c>
      <c r="E12" s="556">
        <f t="shared" ref="E12:J12" si="3">SUM(E5:E11)</f>
        <v>0.16474915000000001</v>
      </c>
      <c r="F12" s="556">
        <f t="shared" si="3"/>
        <v>8.2356360000000003E-2</v>
      </c>
      <c r="G12" s="556">
        <f t="shared" si="3"/>
        <v>3.5800739999999998E-2</v>
      </c>
      <c r="H12" s="556">
        <f t="shared" si="3"/>
        <v>2.7205969999999999E-2</v>
      </c>
      <c r="I12" s="556">
        <f t="shared" si="3"/>
        <v>1.526479E-2</v>
      </c>
      <c r="J12" s="556">
        <f t="shared" si="3"/>
        <v>2.4456180000000001E-2</v>
      </c>
      <c r="K12" s="388"/>
      <c r="L12" s="555">
        <f>SUM(L5:L11)</f>
        <v>1.0000000100000002</v>
      </c>
      <c r="M12" s="557" t="s">
        <v>12</v>
      </c>
    </row>
    <row r="13" spans="1:13" s="531" customFormat="1" ht="14.25" customHeight="1" x14ac:dyDescent="0.2">
      <c r="A13" s="3"/>
      <c r="B13" s="56">
        <f t="shared" si="2"/>
        <v>10</v>
      </c>
      <c r="C13" s="551"/>
      <c r="D13" s="551"/>
      <c r="E13" s="551"/>
      <c r="F13" s="551"/>
      <c r="G13" s="551"/>
      <c r="H13" s="551"/>
      <c r="I13" s="551"/>
      <c r="J13" s="551"/>
      <c r="K13" s="388"/>
      <c r="L13" s="388"/>
    </row>
    <row r="14" spans="1:13" s="531" customFormat="1" ht="14.25" customHeight="1" x14ac:dyDescent="0.2">
      <c r="A14" s="3"/>
      <c r="B14" s="56">
        <f t="shared" si="2"/>
        <v>11</v>
      </c>
      <c r="C14" s="551" t="s">
        <v>943</v>
      </c>
      <c r="D14" s="551"/>
      <c r="E14" s="551"/>
      <c r="F14" s="551"/>
      <c r="G14" s="551"/>
      <c r="H14" s="551"/>
      <c r="I14" s="551"/>
      <c r="J14" s="551"/>
      <c r="K14" s="388"/>
      <c r="L14" s="388"/>
    </row>
    <row r="15" spans="1:13" s="531" customFormat="1" ht="14.25" customHeight="1" x14ac:dyDescent="0.2">
      <c r="A15" s="3"/>
      <c r="B15" s="56">
        <f t="shared" si="2"/>
        <v>12</v>
      </c>
      <c r="C15" s="551" t="s">
        <v>939</v>
      </c>
      <c r="D15" s="565" t="s">
        <v>369</v>
      </c>
      <c r="E15" s="565" t="s">
        <v>369</v>
      </c>
      <c r="F15" s="565" t="s">
        <v>369</v>
      </c>
      <c r="G15" s="558"/>
      <c r="H15" s="558"/>
      <c r="I15" s="558"/>
      <c r="J15" s="558"/>
      <c r="K15" s="388"/>
      <c r="L15" s="565" t="s">
        <v>369</v>
      </c>
    </row>
    <row r="16" spans="1:13" s="531" customFormat="1" ht="14.25" customHeight="1" x14ac:dyDescent="0.2">
      <c r="A16" s="3"/>
      <c r="B16" s="56">
        <f t="shared" si="2"/>
        <v>13</v>
      </c>
      <c r="C16" s="551" t="s">
        <v>940</v>
      </c>
      <c r="D16" s="565" t="s">
        <v>369</v>
      </c>
      <c r="E16" s="565" t="s">
        <v>369</v>
      </c>
      <c r="F16" s="565" t="s">
        <v>369</v>
      </c>
      <c r="G16" s="558"/>
      <c r="H16" s="558"/>
      <c r="I16" s="558"/>
      <c r="J16" s="558"/>
      <c r="K16" s="388"/>
      <c r="L16" s="565" t="s">
        <v>369</v>
      </c>
    </row>
    <row r="17" spans="1:16" s="531" customFormat="1" ht="14.25" customHeight="1" x14ac:dyDescent="0.2">
      <c r="A17" s="3"/>
      <c r="B17" s="56">
        <f t="shared" si="2"/>
        <v>14</v>
      </c>
      <c r="C17" s="551" t="s">
        <v>918</v>
      </c>
      <c r="D17" s="565" t="s">
        <v>369</v>
      </c>
      <c r="E17" s="565" t="s">
        <v>369</v>
      </c>
      <c r="F17" s="565" t="s">
        <v>369</v>
      </c>
      <c r="G17" s="558"/>
      <c r="H17" s="558"/>
      <c r="I17" s="558"/>
      <c r="J17" s="558"/>
      <c r="K17" s="388"/>
      <c r="L17" s="565" t="s">
        <v>369</v>
      </c>
    </row>
    <row r="18" spans="1:16" s="531" customFormat="1" ht="14.25" customHeight="1" x14ac:dyDescent="0.2">
      <c r="A18" s="3"/>
      <c r="B18" s="56">
        <f t="shared" si="2"/>
        <v>15</v>
      </c>
      <c r="C18" s="551" t="s">
        <v>941</v>
      </c>
      <c r="D18" s="565" t="s">
        <v>369</v>
      </c>
      <c r="E18" s="565" t="s">
        <v>369</v>
      </c>
      <c r="F18" s="565" t="s">
        <v>369</v>
      </c>
      <c r="G18" s="558"/>
      <c r="H18" s="559"/>
      <c r="I18" s="559"/>
      <c r="J18" s="559"/>
      <c r="K18" s="388"/>
      <c r="L18" s="565" t="s">
        <v>369</v>
      </c>
    </row>
    <row r="19" spans="1:16" s="531" customFormat="1" ht="14.25" customHeight="1" x14ac:dyDescent="0.2">
      <c r="A19" s="3"/>
      <c r="B19" s="56">
        <f t="shared" si="2"/>
        <v>16</v>
      </c>
      <c r="C19" s="551" t="s">
        <v>942</v>
      </c>
      <c r="D19" s="558"/>
      <c r="E19" s="558"/>
      <c r="F19" s="558"/>
      <c r="G19" s="566">
        <f>G22</f>
        <v>1723656</v>
      </c>
      <c r="H19" s="565">
        <f>H22</f>
        <v>1309854</v>
      </c>
      <c r="I19" s="558"/>
      <c r="J19" s="558"/>
      <c r="K19" s="569"/>
      <c r="L19" s="565" t="s">
        <v>369</v>
      </c>
    </row>
    <row r="20" spans="1:16" s="531" customFormat="1" ht="14.25" customHeight="1" x14ac:dyDescent="0.2">
      <c r="A20" s="3"/>
      <c r="B20" s="56">
        <f t="shared" si="2"/>
        <v>17</v>
      </c>
      <c r="C20" s="551" t="s">
        <v>456</v>
      </c>
      <c r="D20" s="558"/>
      <c r="E20" s="558"/>
      <c r="F20" s="558"/>
      <c r="G20" s="561"/>
      <c r="H20" s="558"/>
      <c r="I20" s="207">
        <f>I22</f>
        <v>734936</v>
      </c>
      <c r="J20" s="558"/>
      <c r="K20" s="570"/>
      <c r="L20" s="565" t="s">
        <v>369</v>
      </c>
      <c r="P20" s="537" t="s">
        <v>12</v>
      </c>
    </row>
    <row r="21" spans="1:16" s="531" customFormat="1" ht="14.25" customHeight="1" x14ac:dyDescent="0.2">
      <c r="A21" s="3"/>
      <c r="B21" s="56">
        <f t="shared" si="2"/>
        <v>18</v>
      </c>
      <c r="C21" s="551" t="s">
        <v>888</v>
      </c>
      <c r="D21" s="558"/>
      <c r="E21" s="558"/>
      <c r="F21" s="558"/>
      <c r="G21" s="561"/>
      <c r="H21" s="558"/>
      <c r="I21" s="558"/>
      <c r="J21" s="207">
        <f>J22</f>
        <v>1177463</v>
      </c>
      <c r="K21" s="563"/>
      <c r="L21" s="571" t="s">
        <v>369</v>
      </c>
    </row>
    <row r="22" spans="1:16" s="531" customFormat="1" ht="14.25" customHeight="1" x14ac:dyDescent="0.2">
      <c r="A22" s="3"/>
      <c r="B22" s="56">
        <f t="shared" si="2"/>
        <v>19</v>
      </c>
      <c r="C22" s="551" t="s">
        <v>830</v>
      </c>
      <c r="D22" s="565" t="s">
        <v>369</v>
      </c>
      <c r="E22" s="565" t="s">
        <v>369</v>
      </c>
      <c r="F22" s="565" t="s">
        <v>369</v>
      </c>
      <c r="G22" s="566">
        <f>'17-Revenues'!E16</f>
        <v>1723656</v>
      </c>
      <c r="H22" s="565">
        <f>'17-Revenues'!E15</f>
        <v>1309854</v>
      </c>
      <c r="I22" s="565">
        <f>'17-Revenues'!E10</f>
        <v>734936</v>
      </c>
      <c r="J22" s="565">
        <f>'17-Revenues'!E22</f>
        <v>1177463</v>
      </c>
      <c r="K22" s="567" t="s">
        <v>12</v>
      </c>
      <c r="L22" s="568">
        <f>'17-Revenues'!E19+'17-Revenues'!E22</f>
        <v>48145827</v>
      </c>
      <c r="M22" s="564" t="s">
        <v>12</v>
      </c>
    </row>
    <row r="23" spans="1:16" x14ac:dyDescent="0.25">
      <c r="A23" s="3"/>
    </row>
    <row r="24" spans="1:16" x14ac:dyDescent="0.25">
      <c r="A24" s="3"/>
      <c r="B24" s="1" t="s">
        <v>944</v>
      </c>
      <c r="J24" s="381"/>
      <c r="L24" s="381" t="s">
        <v>12</v>
      </c>
    </row>
    <row r="25" spans="1:16" x14ac:dyDescent="0.25">
      <c r="A25" s="3"/>
      <c r="J25" s="381"/>
    </row>
    <row r="26" spans="1:16" x14ac:dyDescent="0.25">
      <c r="A26" s="3"/>
    </row>
    <row r="27" spans="1:16" x14ac:dyDescent="0.25">
      <c r="A27" s="3"/>
    </row>
    <row r="28" spans="1:16" x14ac:dyDescent="0.25">
      <c r="A28" s="3"/>
    </row>
    <row r="29" spans="1:16" x14ac:dyDescent="0.25">
      <c r="A29" s="3"/>
    </row>
    <row r="30" spans="1:16" x14ac:dyDescent="0.25">
      <c r="A30" s="3"/>
    </row>
    <row r="31" spans="1:16" x14ac:dyDescent="0.25">
      <c r="A31" s="3"/>
    </row>
    <row r="32" spans="1:16" x14ac:dyDescent="0.25">
      <c r="A32" s="3"/>
    </row>
    <row r="33" spans="1:1" x14ac:dyDescent="0.25">
      <c r="A33" s="3"/>
    </row>
    <row r="34" spans="1:1" x14ac:dyDescent="0.25">
      <c r="A34" s="3"/>
    </row>
    <row r="35" spans="1:1" x14ac:dyDescent="0.25">
      <c r="A35" s="3"/>
    </row>
    <row r="36" spans="1:1" x14ac:dyDescent="0.25">
      <c r="A36" s="3"/>
    </row>
    <row r="37" spans="1:1" x14ac:dyDescent="0.25">
      <c r="A37" s="3"/>
    </row>
    <row r="38" spans="1:1" x14ac:dyDescent="0.25">
      <c r="A38" s="3"/>
    </row>
    <row r="39" spans="1:1" x14ac:dyDescent="0.25">
      <c r="A39" s="3"/>
    </row>
    <row r="40" spans="1:1" x14ac:dyDescent="0.25">
      <c r="A40" s="3"/>
    </row>
    <row r="41" spans="1:1" x14ac:dyDescent="0.25">
      <c r="A41" s="3"/>
    </row>
    <row r="42" spans="1:1" x14ac:dyDescent="0.25">
      <c r="A42" s="3"/>
    </row>
    <row r="43" spans="1:1" x14ac:dyDescent="0.25">
      <c r="A43" s="3"/>
    </row>
    <row r="44" spans="1:1" x14ac:dyDescent="0.25">
      <c r="A44" s="3"/>
    </row>
    <row r="45" spans="1:1" x14ac:dyDescent="0.25">
      <c r="A45" s="3"/>
    </row>
    <row r="46" spans="1:1" x14ac:dyDescent="0.25">
      <c r="A46" s="3"/>
    </row>
    <row r="47" spans="1:1" x14ac:dyDescent="0.25">
      <c r="A47" s="3"/>
    </row>
    <row r="64" spans="1:1" x14ac:dyDescent="0.25">
      <c r="A64" s="3"/>
    </row>
    <row r="65" spans="1:1" x14ac:dyDescent="0.25">
      <c r="A65" s="3"/>
    </row>
    <row r="66" spans="1:1" x14ac:dyDescent="0.25">
      <c r="A66" s="3"/>
    </row>
    <row r="67" spans="1:1" x14ac:dyDescent="0.25">
      <c r="A67" s="3"/>
    </row>
    <row r="68" spans="1:1" x14ac:dyDescent="0.25">
      <c r="A68" s="3"/>
    </row>
    <row r="69" spans="1:1" x14ac:dyDescent="0.25">
      <c r="A69" s="3"/>
    </row>
    <row r="70" spans="1:1" x14ac:dyDescent="0.25">
      <c r="A70" s="3"/>
    </row>
    <row r="71" spans="1:1" x14ac:dyDescent="0.25">
      <c r="A71" s="3"/>
    </row>
    <row r="72" spans="1:1" x14ac:dyDescent="0.25">
      <c r="A72" s="3"/>
    </row>
    <row r="73" spans="1:1" x14ac:dyDescent="0.25">
      <c r="A73" s="3"/>
    </row>
    <row r="74" spans="1:1" x14ac:dyDescent="0.25">
      <c r="A74" s="3"/>
    </row>
    <row r="75" spans="1:1" x14ac:dyDescent="0.25">
      <c r="A75" s="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4F347-44D5-4F7C-BE7B-4FDAD56FE8CA}">
  <sheetPr>
    <tabColor rgb="FFFFFFFF"/>
  </sheetPr>
  <dimension ref="A1:L59"/>
  <sheetViews>
    <sheetView showGridLines="0" workbookViewId="0"/>
  </sheetViews>
  <sheetFormatPr defaultColWidth="9.140625" defaultRowHeight="15" x14ac:dyDescent="0.25"/>
  <cols>
    <col min="1" max="1" width="2.7109375" style="4" customWidth="1"/>
    <col min="2" max="2" width="6.7109375" style="148" customWidth="1"/>
    <col min="3" max="3" width="32" style="1" customWidth="1"/>
    <col min="4" max="4" width="12.7109375" style="1" customWidth="1"/>
    <col min="5" max="5" width="2.28515625" style="148" customWidth="1"/>
    <col min="6" max="9" width="12.7109375" style="148" customWidth="1"/>
    <col min="10" max="10" width="2.28515625" style="148" customWidth="1"/>
    <col min="11" max="12" width="12.7109375" style="148" customWidth="1"/>
    <col min="13" max="16384" width="9.140625" style="148"/>
  </cols>
  <sheetData>
    <row r="1" spans="1:12" s="9" customFormat="1" ht="9.75" customHeight="1" x14ac:dyDescent="0.25">
      <c r="B1" s="80"/>
    </row>
    <row r="2" spans="1:12" ht="26.25" x14ac:dyDescent="0.25">
      <c r="A2" s="20"/>
      <c r="B2" s="50" t="s">
        <v>945</v>
      </c>
      <c r="C2" s="8"/>
      <c r="D2" s="8"/>
    </row>
    <row r="3" spans="1:12" ht="14.25" customHeight="1" x14ac:dyDescent="0.25">
      <c r="B3" s="712" t="s">
        <v>13</v>
      </c>
      <c r="C3" s="712" t="s">
        <v>55</v>
      </c>
      <c r="D3" s="712" t="s">
        <v>946</v>
      </c>
      <c r="E3" s="544" t="s">
        <v>12</v>
      </c>
      <c r="F3" s="543" t="s">
        <v>947</v>
      </c>
      <c r="G3" s="543" t="s">
        <v>948</v>
      </c>
      <c r="H3" s="543" t="s">
        <v>312</v>
      </c>
      <c r="I3" s="543" t="s">
        <v>949</v>
      </c>
      <c r="J3" s="544" t="s">
        <v>12</v>
      </c>
      <c r="K3" s="543" t="s">
        <v>950</v>
      </c>
      <c r="L3" s="543" t="s">
        <v>951</v>
      </c>
    </row>
    <row r="4" spans="1:12" ht="14.25" customHeight="1" x14ac:dyDescent="0.25">
      <c r="A4" s="3"/>
      <c r="B4" s="56">
        <v>1</v>
      </c>
      <c r="C4" s="68" t="s">
        <v>952</v>
      </c>
      <c r="D4" s="276">
        <f>'5-Plant'!E46</f>
        <v>286093812</v>
      </c>
      <c r="E4" s="388"/>
      <c r="F4" s="545">
        <v>1600774</v>
      </c>
      <c r="G4" s="545">
        <v>1937143</v>
      </c>
      <c r="H4" s="546"/>
      <c r="I4" s="545">
        <f>SUM(F4:H4)</f>
        <v>3537917</v>
      </c>
      <c r="J4" s="388"/>
      <c r="K4" s="468">
        <f>D4/$D$16</f>
        <v>0.76931892147952863</v>
      </c>
      <c r="L4" s="468">
        <f>I4/$I$16</f>
        <v>0.20240904452107969</v>
      </c>
    </row>
    <row r="5" spans="1:12" ht="14.25" customHeight="1" x14ac:dyDescent="0.25">
      <c r="A5" s="3"/>
      <c r="B5" s="56">
        <f>B4+1</f>
        <v>2</v>
      </c>
      <c r="C5" s="68" t="s">
        <v>953</v>
      </c>
      <c r="D5" s="276">
        <f>'5-Plant'!E21</f>
        <v>42612385</v>
      </c>
      <c r="E5" s="388"/>
      <c r="F5" s="545">
        <v>179737</v>
      </c>
      <c r="G5" s="545">
        <v>311133</v>
      </c>
      <c r="H5" s="546"/>
      <c r="I5" s="545">
        <f>SUM(F5:H5)</f>
        <v>490870</v>
      </c>
      <c r="J5" s="388"/>
      <c r="K5" s="468">
        <f>D5/$D$16</f>
        <v>0.1145865890656539</v>
      </c>
      <c r="L5" s="468">
        <f>I5/$I$16</f>
        <v>2.8083340475218155E-2</v>
      </c>
    </row>
    <row r="6" spans="1:12" ht="14.25" customHeight="1" x14ac:dyDescent="0.25">
      <c r="A6" s="3"/>
      <c r="B6" s="56">
        <f t="shared" ref="B6:B16" si="0">B5+1</f>
        <v>3</v>
      </c>
      <c r="C6" s="68" t="s">
        <v>77</v>
      </c>
      <c r="D6" s="276">
        <f>'5-Plant'!E32</f>
        <v>23135108</v>
      </c>
      <c r="E6" s="388"/>
      <c r="F6" s="545">
        <v>1058956</v>
      </c>
      <c r="G6" s="545">
        <v>327595</v>
      </c>
      <c r="H6" s="546"/>
      <c r="I6" s="545">
        <f>SUM(F6:H6)</f>
        <v>1386551</v>
      </c>
      <c r="J6" s="388"/>
      <c r="K6" s="468">
        <f>D6/$D$16</f>
        <v>6.2211329250534138E-2</v>
      </c>
      <c r="L6" s="468">
        <f>I6/$I$16</f>
        <v>7.9326468961749969E-2</v>
      </c>
    </row>
    <row r="7" spans="1:12" ht="14.25" customHeight="1" x14ac:dyDescent="0.25">
      <c r="A7" s="3"/>
      <c r="B7" s="56">
        <f t="shared" si="0"/>
        <v>4</v>
      </c>
      <c r="C7" s="68" t="s">
        <v>954</v>
      </c>
      <c r="D7" s="276">
        <f>'5-Plant'!E60</f>
        <v>20027814</v>
      </c>
      <c r="E7" s="388"/>
      <c r="F7" s="546"/>
      <c r="G7" s="546"/>
      <c r="H7" s="546"/>
      <c r="I7" s="546" t="s">
        <v>12</v>
      </c>
      <c r="J7" s="388"/>
      <c r="K7" s="468">
        <f>D7/$D$16</f>
        <v>5.3855678171999766E-2</v>
      </c>
      <c r="L7" s="547" t="s">
        <v>12</v>
      </c>
    </row>
    <row r="8" spans="1:12" ht="14.25" customHeight="1" x14ac:dyDescent="0.25">
      <c r="A8" s="3"/>
      <c r="B8" s="56">
        <f t="shared" si="0"/>
        <v>5</v>
      </c>
      <c r="C8" s="68" t="s">
        <v>955</v>
      </c>
      <c r="D8" s="276">
        <f>'5-Plant'!E8</f>
        <v>10220</v>
      </c>
      <c r="E8" s="388"/>
      <c r="F8" s="546"/>
      <c r="G8" s="546"/>
      <c r="H8" s="546"/>
      <c r="I8" s="546" t="s">
        <v>12</v>
      </c>
      <c r="J8" s="388"/>
      <c r="K8" s="468">
        <f>D8/$D$16</f>
        <v>2.7482032283595084E-5</v>
      </c>
      <c r="L8" s="547" t="s">
        <v>12</v>
      </c>
    </row>
    <row r="9" spans="1:12" ht="14.25" customHeight="1" x14ac:dyDescent="0.25">
      <c r="A9" s="3"/>
      <c r="B9" s="56">
        <f t="shared" si="0"/>
        <v>6</v>
      </c>
      <c r="C9" s="68" t="s">
        <v>956</v>
      </c>
      <c r="D9" s="311"/>
      <c r="E9" s="388"/>
      <c r="F9" s="546"/>
      <c r="G9" s="546"/>
      <c r="H9" s="397">
        <f>I9</f>
        <v>3196347</v>
      </c>
      <c r="I9" s="545">
        <f>'18-Expenses'!F61-'19-Exp function'!E21</f>
        <v>3196347</v>
      </c>
      <c r="J9" s="388"/>
      <c r="K9" s="547" t="s">
        <v>12</v>
      </c>
      <c r="L9" s="468">
        <f t="shared" ref="L9:L15" si="1">I9/$I$16</f>
        <v>0.1828673601522646</v>
      </c>
    </row>
    <row r="10" spans="1:12" ht="14.25" customHeight="1" x14ac:dyDescent="0.25">
      <c r="B10" s="56">
        <f t="shared" si="0"/>
        <v>7</v>
      </c>
      <c r="C10" s="68" t="s">
        <v>957</v>
      </c>
      <c r="D10" s="311"/>
      <c r="E10" s="388"/>
      <c r="F10" s="546"/>
      <c r="G10" s="546"/>
      <c r="H10" s="397">
        <v>2433408</v>
      </c>
      <c r="I10" s="545">
        <f>SUM(F10:H10)</f>
        <v>2433408</v>
      </c>
      <c r="J10" s="388"/>
      <c r="K10" s="547" t="s">
        <v>12</v>
      </c>
      <c r="L10" s="468">
        <f t="shared" si="1"/>
        <v>0.1392185820667787</v>
      </c>
    </row>
    <row r="11" spans="1:12" ht="14.25" customHeight="1" x14ac:dyDescent="0.25">
      <c r="A11" s="3"/>
      <c r="B11" s="56">
        <f t="shared" si="0"/>
        <v>8</v>
      </c>
      <c r="C11" s="68" t="s">
        <v>958</v>
      </c>
      <c r="D11" s="311"/>
      <c r="E11" s="388"/>
      <c r="F11" s="546"/>
      <c r="G11" s="546"/>
      <c r="H11" s="397">
        <f>I11</f>
        <v>2411371</v>
      </c>
      <c r="I11" s="545">
        <f>'18-Expenses'!F16</f>
        <v>2411371</v>
      </c>
      <c r="J11" s="388"/>
      <c r="K11" s="547" t="s">
        <v>12</v>
      </c>
      <c r="L11" s="468">
        <f t="shared" si="1"/>
        <v>0.13795781531783829</v>
      </c>
    </row>
    <row r="12" spans="1:12" ht="14.25" customHeight="1" x14ac:dyDescent="0.25">
      <c r="A12" s="3"/>
      <c r="B12" s="56">
        <f t="shared" si="0"/>
        <v>9</v>
      </c>
      <c r="C12" s="68" t="s">
        <v>498</v>
      </c>
      <c r="D12" s="311"/>
      <c r="E12" s="388"/>
      <c r="F12" s="546"/>
      <c r="G12" s="546"/>
      <c r="H12" s="397">
        <f>I12</f>
        <v>1622138</v>
      </c>
      <c r="I12" s="545">
        <f>'18-Expenses'!F7</f>
        <v>1622138</v>
      </c>
      <c r="J12" s="388"/>
      <c r="K12" s="547" t="s">
        <v>12</v>
      </c>
      <c r="L12" s="468">
        <f t="shared" si="1"/>
        <v>9.2804721722226716E-2</v>
      </c>
    </row>
    <row r="13" spans="1:12" ht="14.25" customHeight="1" x14ac:dyDescent="0.25">
      <c r="A13" s="3"/>
      <c r="B13" s="56">
        <f t="shared" si="0"/>
        <v>10</v>
      </c>
      <c r="C13" s="68" t="s">
        <v>959</v>
      </c>
      <c r="D13" s="311"/>
      <c r="E13" s="388"/>
      <c r="F13" s="546"/>
      <c r="G13" s="546"/>
      <c r="H13" s="397">
        <v>1009687</v>
      </c>
      <c r="I13" s="545">
        <f>SUM(F13:H13)</f>
        <v>1009687</v>
      </c>
      <c r="J13" s="388"/>
      <c r="K13" s="547" t="s">
        <v>12</v>
      </c>
      <c r="L13" s="468">
        <f t="shared" si="1"/>
        <v>5.7765566839288594E-2</v>
      </c>
    </row>
    <row r="14" spans="1:12" ht="14.25" customHeight="1" x14ac:dyDescent="0.25">
      <c r="A14" s="3"/>
      <c r="B14" s="56">
        <f t="shared" si="0"/>
        <v>11</v>
      </c>
      <c r="C14" s="68" t="s">
        <v>960</v>
      </c>
      <c r="D14" s="311"/>
      <c r="E14" s="388"/>
      <c r="F14" s="546"/>
      <c r="G14" s="546"/>
      <c r="H14" s="397">
        <f>I14</f>
        <v>811590</v>
      </c>
      <c r="I14" s="545">
        <f>'18-Expenses'!F38</f>
        <v>811590</v>
      </c>
      <c r="J14" s="388"/>
      <c r="K14" s="547" t="s">
        <v>12</v>
      </c>
      <c r="L14" s="468">
        <f t="shared" si="1"/>
        <v>4.6432167979877162E-2</v>
      </c>
    </row>
    <row r="15" spans="1:12" ht="14.25" customHeight="1" x14ac:dyDescent="0.25">
      <c r="A15" s="3"/>
      <c r="B15" s="56">
        <f t="shared" si="0"/>
        <v>12</v>
      </c>
      <c r="C15" s="68" t="s">
        <v>961</v>
      </c>
      <c r="D15" s="311"/>
      <c r="E15" s="388"/>
      <c r="F15" s="546"/>
      <c r="G15" s="546"/>
      <c r="H15" s="397">
        <f>I15</f>
        <v>579167</v>
      </c>
      <c r="I15" s="545">
        <f>'18-Expenses'!F31</f>
        <v>579167</v>
      </c>
      <c r="J15" s="388"/>
      <c r="K15" s="547" t="s">
        <v>12</v>
      </c>
      <c r="L15" s="468">
        <f t="shared" si="1"/>
        <v>3.3134931963678109E-2</v>
      </c>
    </row>
    <row r="16" spans="1:12" ht="14.25" customHeight="1" x14ac:dyDescent="0.25">
      <c r="A16" s="3"/>
      <c r="B16" s="56">
        <f t="shared" si="0"/>
        <v>13</v>
      </c>
      <c r="C16" s="68" t="s">
        <v>592</v>
      </c>
      <c r="D16" s="548">
        <f>SUM(D4:D15)</f>
        <v>371879339</v>
      </c>
      <c r="E16" s="388"/>
      <c r="F16" s="545">
        <f>SUM(F4:F15)</f>
        <v>2839467</v>
      </c>
      <c r="G16" s="545">
        <f>SUM(G4:G15)</f>
        <v>2575871</v>
      </c>
      <c r="H16" s="545">
        <f>SUM(H4:H15)</f>
        <v>12063708</v>
      </c>
      <c r="I16" s="548">
        <f>SUM(I4:I15)</f>
        <v>17479046</v>
      </c>
      <c r="J16" s="388"/>
      <c r="K16" s="468">
        <f>SUM(K4:K15)</f>
        <v>1</v>
      </c>
      <c r="L16" s="468">
        <f>SUM(L4:L15)</f>
        <v>1</v>
      </c>
    </row>
    <row r="17" spans="1:9" x14ac:dyDescent="0.25">
      <c r="A17" s="3"/>
      <c r="I17" s="375"/>
    </row>
    <row r="18" spans="1:9" x14ac:dyDescent="0.25">
      <c r="A18" s="3"/>
      <c r="B18" s="148" t="s">
        <v>962</v>
      </c>
      <c r="I18" s="375"/>
    </row>
    <row r="19" spans="1:9" x14ac:dyDescent="0.25">
      <c r="A19" s="3"/>
      <c r="B19" s="148" t="s">
        <v>963</v>
      </c>
    </row>
    <row r="20" spans="1:9" x14ac:dyDescent="0.25">
      <c r="A20" s="3"/>
      <c r="I20" s="375" t="s">
        <v>12</v>
      </c>
    </row>
    <row r="21" spans="1:9" x14ac:dyDescent="0.25">
      <c r="A21" s="3"/>
    </row>
    <row r="22" spans="1:9" x14ac:dyDescent="0.25">
      <c r="A22" s="3"/>
    </row>
    <row r="23" spans="1:9" x14ac:dyDescent="0.25">
      <c r="A23" s="3"/>
    </row>
    <row r="24" spans="1:9" x14ac:dyDescent="0.25">
      <c r="A24" s="3"/>
    </row>
    <row r="25" spans="1:9" x14ac:dyDescent="0.25">
      <c r="A25" s="3"/>
    </row>
    <row r="26" spans="1:9" x14ac:dyDescent="0.25">
      <c r="A26" s="3"/>
    </row>
    <row r="27" spans="1:9" x14ac:dyDescent="0.25">
      <c r="A27" s="3"/>
    </row>
    <row r="28" spans="1:9" x14ac:dyDescent="0.25">
      <c r="A28" s="3"/>
    </row>
    <row r="29" spans="1:9" x14ac:dyDescent="0.25">
      <c r="A29" s="3"/>
    </row>
    <row r="30" spans="1:9" x14ac:dyDescent="0.25">
      <c r="A30" s="3"/>
    </row>
    <row r="31" spans="1:9" x14ac:dyDescent="0.25">
      <c r="A31" s="3"/>
    </row>
    <row r="48" spans="1:1" x14ac:dyDescent="0.25">
      <c r="A48" s="3"/>
    </row>
    <row r="49" spans="1:1" x14ac:dyDescent="0.25">
      <c r="A49" s="3"/>
    </row>
    <row r="50" spans="1:1" x14ac:dyDescent="0.25">
      <c r="A50" s="3"/>
    </row>
    <row r="51" spans="1:1" x14ac:dyDescent="0.25">
      <c r="A51" s="3"/>
    </row>
    <row r="52" spans="1:1" x14ac:dyDescent="0.25">
      <c r="A52" s="3"/>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C24A7-8C5F-47A5-9188-B4DC04F8A5E7}">
  <sheetPr>
    <tabColor rgb="FFF2F2F2"/>
  </sheetPr>
  <dimension ref="A1:M75"/>
  <sheetViews>
    <sheetView showGridLines="0" workbookViewId="0">
      <selection activeCell="B2" sqref="B2"/>
    </sheetView>
  </sheetViews>
  <sheetFormatPr defaultColWidth="8.85546875" defaultRowHeight="15" x14ac:dyDescent="0.25"/>
  <cols>
    <col min="1" max="1" width="2.7109375" style="4" customWidth="1"/>
    <col min="2" max="2" width="6.7109375" customWidth="1"/>
    <col min="3" max="3" width="24.7109375" style="377" customWidth="1"/>
    <col min="4" max="10" width="11.7109375" style="377" customWidth="1"/>
    <col min="11" max="11" width="2.140625" customWidth="1"/>
    <col min="12" max="12" width="11.7109375" customWidth="1"/>
    <col min="13" max="13" width="10.7109375" bestFit="1" customWidth="1"/>
  </cols>
  <sheetData>
    <row r="1" spans="1:13" s="9" customFormat="1" ht="9.75" customHeight="1" x14ac:dyDescent="0.25">
      <c r="B1" s="80"/>
    </row>
    <row r="2" spans="1:13" ht="37.5" customHeight="1" x14ac:dyDescent="0.25">
      <c r="A2" s="20"/>
      <c r="B2" s="50" t="s">
        <v>936</v>
      </c>
    </row>
    <row r="3" spans="1:13" s="531" customFormat="1" ht="18.75" customHeight="1" x14ac:dyDescent="0.2">
      <c r="A3" s="3"/>
      <c r="B3" s="712" t="s">
        <v>13</v>
      </c>
      <c r="C3" s="549"/>
      <c r="D3" s="550" t="s">
        <v>470</v>
      </c>
      <c r="E3" s="550" t="s">
        <v>471</v>
      </c>
      <c r="F3" s="550" t="s">
        <v>472</v>
      </c>
      <c r="G3" s="550" t="s">
        <v>924</v>
      </c>
      <c r="H3" s="550" t="s">
        <v>937</v>
      </c>
      <c r="I3" s="550" t="s">
        <v>456</v>
      </c>
      <c r="J3" s="550" t="s">
        <v>888</v>
      </c>
      <c r="K3" s="543"/>
      <c r="L3" s="543" t="s">
        <v>830</v>
      </c>
    </row>
    <row r="4" spans="1:13" s="531" customFormat="1" ht="18.75" customHeight="1" x14ac:dyDescent="0.2">
      <c r="A4" s="3"/>
      <c r="B4" s="56">
        <v>1</v>
      </c>
      <c r="C4" s="551" t="s">
        <v>938</v>
      </c>
      <c r="D4" s="552"/>
      <c r="E4" s="551"/>
      <c r="F4" s="551"/>
      <c r="G4" s="551"/>
      <c r="H4" s="551"/>
      <c r="I4" s="551"/>
      <c r="J4" s="551"/>
      <c r="K4" s="388"/>
      <c r="L4" s="388"/>
    </row>
    <row r="5" spans="1:13" s="531" customFormat="1" ht="18.75" customHeight="1" x14ac:dyDescent="0.2">
      <c r="A5" s="3"/>
      <c r="B5" s="56">
        <f>B4+1</f>
        <v>2</v>
      </c>
      <c r="C5" s="551" t="s">
        <v>939</v>
      </c>
      <c r="D5" s="661">
        <v>9.0166819999999995E-2</v>
      </c>
      <c r="E5" s="661">
        <v>5.4749150000000003E-2</v>
      </c>
      <c r="F5" s="661">
        <v>7.3563600000000002E-3</v>
      </c>
      <c r="G5" s="662" t="s">
        <v>12</v>
      </c>
      <c r="H5" s="662" t="s">
        <v>12</v>
      </c>
      <c r="I5" s="662"/>
      <c r="J5" s="662" t="s">
        <v>12</v>
      </c>
      <c r="K5" s="661"/>
      <c r="L5" s="661">
        <f>SUM(D5:J5)</f>
        <v>0.15227233000000001</v>
      </c>
    </row>
    <row r="6" spans="1:13" s="531" customFormat="1" ht="18.75" customHeight="1" x14ac:dyDescent="0.2">
      <c r="A6" s="3"/>
      <c r="B6" s="56">
        <f t="shared" ref="B6:B8" si="0">B5+1</f>
        <v>3</v>
      </c>
      <c r="C6" s="551" t="s">
        <v>940</v>
      </c>
      <c r="D6" s="661">
        <v>0.24</v>
      </c>
      <c r="E6" s="661">
        <v>0.06</v>
      </c>
      <c r="F6" s="661">
        <v>3.5000000000000003E-2</v>
      </c>
      <c r="G6" s="662" t="s">
        <v>12</v>
      </c>
      <c r="H6" s="662" t="s">
        <v>12</v>
      </c>
      <c r="I6" s="662"/>
      <c r="J6" s="662" t="s">
        <v>12</v>
      </c>
      <c r="K6" s="661"/>
      <c r="L6" s="661">
        <f t="shared" ref="L6:L11" si="1">SUM(D6:J6)</f>
        <v>0.33499999999999996</v>
      </c>
      <c r="M6" s="531" t="s">
        <v>12</v>
      </c>
    </row>
    <row r="7" spans="1:13" s="531" customFormat="1" ht="18.75" customHeight="1" x14ac:dyDescent="0.2">
      <c r="A7" s="3"/>
      <c r="B7" s="56">
        <f t="shared" si="0"/>
        <v>4</v>
      </c>
      <c r="C7" s="551" t="s">
        <v>918</v>
      </c>
      <c r="D7" s="661">
        <v>0.16</v>
      </c>
      <c r="E7" s="661">
        <v>0.04</v>
      </c>
      <c r="F7" s="661">
        <v>0.03</v>
      </c>
      <c r="G7" s="662" t="s">
        <v>12</v>
      </c>
      <c r="H7" s="662" t="s">
        <v>12</v>
      </c>
      <c r="I7" s="662"/>
      <c r="J7" s="662" t="s">
        <v>12</v>
      </c>
      <c r="K7" s="661"/>
      <c r="L7" s="661">
        <f t="shared" si="1"/>
        <v>0.23</v>
      </c>
    </row>
    <row r="8" spans="1:13" s="531" customFormat="1" ht="18.75" customHeight="1" x14ac:dyDescent="0.2">
      <c r="A8" s="3"/>
      <c r="B8" s="56">
        <f t="shared" si="0"/>
        <v>5</v>
      </c>
      <c r="C8" s="551" t="s">
        <v>941</v>
      </c>
      <c r="D8" s="661">
        <v>0.16</v>
      </c>
      <c r="E8" s="661">
        <v>0.01</v>
      </c>
      <c r="F8" s="661">
        <v>0.01</v>
      </c>
      <c r="G8" s="662"/>
      <c r="H8" s="662"/>
      <c r="I8" s="662"/>
      <c r="J8" s="662"/>
      <c r="K8" s="661"/>
      <c r="L8" s="661">
        <f t="shared" si="1"/>
        <v>0.18000000000000002</v>
      </c>
    </row>
    <row r="9" spans="1:13" s="531" customFormat="1" ht="18.75" customHeight="1" x14ac:dyDescent="0.2">
      <c r="A9" s="3"/>
      <c r="B9" s="56">
        <f>B8+1</f>
        <v>6</v>
      </c>
      <c r="C9" s="551" t="s">
        <v>942</v>
      </c>
      <c r="D9" s="662"/>
      <c r="E9" s="662"/>
      <c r="F9" s="662"/>
      <c r="G9" s="661">
        <v>3.5800739999999998E-2</v>
      </c>
      <c r="H9" s="661">
        <v>2.7205969999999999E-2</v>
      </c>
      <c r="I9" s="662"/>
      <c r="J9" s="662"/>
      <c r="K9" s="661"/>
      <c r="L9" s="661">
        <f t="shared" si="1"/>
        <v>6.3006709999999994E-2</v>
      </c>
    </row>
    <row r="10" spans="1:13" s="531" customFormat="1" ht="18.75" customHeight="1" x14ac:dyDescent="0.2">
      <c r="A10" s="3"/>
      <c r="B10" s="56">
        <f t="shared" ref="B10:B22" si="2">B9+1</f>
        <v>7</v>
      </c>
      <c r="C10" s="551" t="s">
        <v>456</v>
      </c>
      <c r="D10" s="662"/>
      <c r="E10" s="662"/>
      <c r="F10" s="662"/>
      <c r="G10" s="662"/>
      <c r="H10" s="662"/>
      <c r="I10" s="661">
        <v>1.526479E-2</v>
      </c>
      <c r="J10" s="662"/>
      <c r="K10" s="661"/>
      <c r="L10" s="661">
        <f t="shared" si="1"/>
        <v>1.526479E-2</v>
      </c>
    </row>
    <row r="11" spans="1:13" s="531" customFormat="1" ht="18.75" customHeight="1" x14ac:dyDescent="0.2">
      <c r="A11" s="3"/>
      <c r="B11" s="56">
        <f t="shared" si="2"/>
        <v>8</v>
      </c>
      <c r="C11" s="551" t="s">
        <v>888</v>
      </c>
      <c r="D11" s="662"/>
      <c r="E11" s="662"/>
      <c r="F11" s="662"/>
      <c r="G11" s="662"/>
      <c r="H11" s="662"/>
      <c r="I11" s="662"/>
      <c r="J11" s="663">
        <v>2.4456180000000001E-2</v>
      </c>
      <c r="K11" s="661"/>
      <c r="L11" s="666">
        <f t="shared" si="1"/>
        <v>2.4456180000000001E-2</v>
      </c>
    </row>
    <row r="12" spans="1:13" s="531" customFormat="1" ht="18.75" customHeight="1" x14ac:dyDescent="0.2">
      <c r="A12" s="3"/>
      <c r="B12" s="56">
        <f t="shared" si="2"/>
        <v>9</v>
      </c>
      <c r="C12" s="551" t="s">
        <v>830</v>
      </c>
      <c r="D12" s="663">
        <f>SUM(D5:D11)</f>
        <v>0.65016682000000003</v>
      </c>
      <c r="E12" s="663">
        <f t="shared" ref="E12:J12" si="3">SUM(E5:E11)</f>
        <v>0.16474915000000001</v>
      </c>
      <c r="F12" s="663">
        <f t="shared" si="3"/>
        <v>8.2356360000000003E-2</v>
      </c>
      <c r="G12" s="663">
        <f t="shared" si="3"/>
        <v>3.5800739999999998E-2</v>
      </c>
      <c r="H12" s="663">
        <f t="shared" si="3"/>
        <v>2.7205969999999999E-2</v>
      </c>
      <c r="I12" s="663">
        <f t="shared" si="3"/>
        <v>1.526479E-2</v>
      </c>
      <c r="J12" s="663">
        <f t="shared" si="3"/>
        <v>2.4456180000000001E-2</v>
      </c>
      <c r="K12" s="665"/>
      <c r="L12" s="664">
        <f>SUM(L5:L11)</f>
        <v>1.0000000100000002</v>
      </c>
      <c r="M12" s="557" t="s">
        <v>12</v>
      </c>
    </row>
    <row r="13" spans="1:13" s="531" customFormat="1" ht="18.75" customHeight="1" x14ac:dyDescent="0.2">
      <c r="A13" s="3"/>
      <c r="B13" s="56">
        <f t="shared" si="2"/>
        <v>10</v>
      </c>
      <c r="C13" s="551"/>
      <c r="D13" s="551"/>
      <c r="E13" s="551"/>
      <c r="F13" s="551"/>
      <c r="G13" s="551"/>
      <c r="H13" s="551"/>
      <c r="I13" s="551"/>
      <c r="J13" s="551"/>
      <c r="K13" s="388"/>
      <c r="L13" s="667"/>
    </row>
    <row r="14" spans="1:13" s="531" customFormat="1" ht="18.75" customHeight="1" x14ac:dyDescent="0.2">
      <c r="A14" s="3"/>
      <c r="B14" s="56">
        <f t="shared" si="2"/>
        <v>11</v>
      </c>
      <c r="C14" s="551" t="s">
        <v>943</v>
      </c>
      <c r="D14" s="551"/>
      <c r="E14" s="551"/>
      <c r="F14" s="551"/>
      <c r="G14" s="551"/>
      <c r="H14" s="551"/>
      <c r="I14" s="551"/>
      <c r="J14" s="551"/>
      <c r="K14" s="388"/>
      <c r="L14" s="388"/>
    </row>
    <row r="15" spans="1:13" s="531" customFormat="1" ht="18.75" customHeight="1" x14ac:dyDescent="0.2">
      <c r="A15" s="3"/>
      <c r="B15" s="56">
        <f t="shared" si="2"/>
        <v>12</v>
      </c>
      <c r="C15" s="551" t="s">
        <v>939</v>
      </c>
      <c r="D15" s="565">
        <f>D5*$L$22</f>
        <v>4341156.1168601401</v>
      </c>
      <c r="E15" s="565">
        <f t="shared" ref="E15:F15" si="4">E5*$L$22</f>
        <v>2635943.1042970503</v>
      </c>
      <c r="F15" s="565">
        <f t="shared" si="4"/>
        <v>354178.03590972</v>
      </c>
      <c r="G15" s="558"/>
      <c r="H15" s="558"/>
      <c r="I15" s="558"/>
      <c r="J15" s="558"/>
      <c r="K15" s="388"/>
      <c r="L15" s="565">
        <f>SUM(D15:J15)</f>
        <v>7331277.2570669102</v>
      </c>
    </row>
    <row r="16" spans="1:13" s="531" customFormat="1" ht="18.75" customHeight="1" x14ac:dyDescent="0.2">
      <c r="A16" s="3"/>
      <c r="B16" s="56">
        <f t="shared" si="2"/>
        <v>13</v>
      </c>
      <c r="C16" s="551" t="s">
        <v>940</v>
      </c>
      <c r="D16" s="565">
        <f t="shared" ref="D16:F16" si="5">D6*$L$22</f>
        <v>11554998.48</v>
      </c>
      <c r="E16" s="565">
        <f t="shared" si="5"/>
        <v>2888749.62</v>
      </c>
      <c r="F16" s="565">
        <f t="shared" si="5"/>
        <v>1685103.9450000001</v>
      </c>
      <c r="G16" s="558"/>
      <c r="H16" s="558"/>
      <c r="I16" s="558"/>
      <c r="J16" s="558"/>
      <c r="K16" s="388"/>
      <c r="L16" s="565">
        <f t="shared" ref="L16:L21" si="6">SUM(D16:J16)</f>
        <v>16128852.045000002</v>
      </c>
    </row>
    <row r="17" spans="1:13" s="531" customFormat="1" ht="18.75" customHeight="1" x14ac:dyDescent="0.2">
      <c r="A17" s="3"/>
      <c r="B17" s="56">
        <f t="shared" si="2"/>
        <v>14</v>
      </c>
      <c r="C17" s="551" t="s">
        <v>918</v>
      </c>
      <c r="D17" s="565">
        <f t="shared" ref="D17:F17" si="7">D7*$L$22</f>
        <v>7703332.3200000003</v>
      </c>
      <c r="E17" s="565">
        <f t="shared" si="7"/>
        <v>1925833.08</v>
      </c>
      <c r="F17" s="565">
        <f t="shared" si="7"/>
        <v>1444374.81</v>
      </c>
      <c r="G17" s="558"/>
      <c r="H17" s="558"/>
      <c r="I17" s="558"/>
      <c r="J17" s="558"/>
      <c r="K17" s="388"/>
      <c r="L17" s="565">
        <f t="shared" si="6"/>
        <v>11073540.210000001</v>
      </c>
    </row>
    <row r="18" spans="1:13" s="531" customFormat="1" ht="18.75" customHeight="1" x14ac:dyDescent="0.2">
      <c r="A18" s="3"/>
      <c r="B18" s="56">
        <f t="shared" si="2"/>
        <v>15</v>
      </c>
      <c r="C18" s="551" t="s">
        <v>941</v>
      </c>
      <c r="D18" s="565">
        <f t="shared" ref="D18:F18" si="8">D8*$L$22</f>
        <v>7703332.3200000003</v>
      </c>
      <c r="E18" s="565">
        <f t="shared" si="8"/>
        <v>481458.27</v>
      </c>
      <c r="F18" s="565">
        <f t="shared" si="8"/>
        <v>481458.27</v>
      </c>
      <c r="G18" s="558"/>
      <c r="H18" s="559"/>
      <c r="I18" s="559"/>
      <c r="J18" s="559"/>
      <c r="K18" s="388"/>
      <c r="L18" s="565">
        <f t="shared" si="6"/>
        <v>8666248.8599999994</v>
      </c>
    </row>
    <row r="19" spans="1:13" s="531" customFormat="1" ht="18.75" customHeight="1" x14ac:dyDescent="0.2">
      <c r="A19" s="3"/>
      <c r="B19" s="56">
        <f t="shared" si="2"/>
        <v>16</v>
      </c>
      <c r="C19" s="551" t="s">
        <v>942</v>
      </c>
      <c r="D19" s="558" t="s">
        <v>12</v>
      </c>
      <c r="E19" s="558"/>
      <c r="F19" s="558"/>
      <c r="G19" s="566">
        <f t="shared" ref="G19:H19" si="9">G9*$L$22</f>
        <v>1723656.2345119799</v>
      </c>
      <c r="H19" s="565">
        <f t="shared" si="9"/>
        <v>1309853.9249871899</v>
      </c>
      <c r="I19" s="558"/>
      <c r="J19" s="558"/>
      <c r="K19" s="560"/>
      <c r="L19" s="565">
        <f t="shared" si="6"/>
        <v>3033510.1594991698</v>
      </c>
    </row>
    <row r="20" spans="1:13" s="531" customFormat="1" ht="18.75" customHeight="1" x14ac:dyDescent="0.2">
      <c r="A20" s="3"/>
      <c r="B20" s="56">
        <f t="shared" si="2"/>
        <v>17</v>
      </c>
      <c r="C20" s="551" t="s">
        <v>456</v>
      </c>
      <c r="D20" s="558"/>
      <c r="E20" s="558"/>
      <c r="F20" s="558"/>
      <c r="G20" s="561"/>
      <c r="H20" s="558"/>
      <c r="I20" s="207">
        <f>I10*$L$22</f>
        <v>734935.93853132997</v>
      </c>
      <c r="J20" s="558"/>
      <c r="K20" s="562"/>
      <c r="L20" s="565">
        <f t="shared" si="6"/>
        <v>734935.93853132997</v>
      </c>
    </row>
    <row r="21" spans="1:13" s="531" customFormat="1" ht="18.75" customHeight="1" x14ac:dyDescent="0.2">
      <c r="A21" s="3"/>
      <c r="B21" s="56">
        <f t="shared" si="2"/>
        <v>18</v>
      </c>
      <c r="C21" s="551" t="s">
        <v>888</v>
      </c>
      <c r="D21" s="558" t="s">
        <v>12</v>
      </c>
      <c r="E21" s="558"/>
      <c r="F21" s="558"/>
      <c r="G21" s="561"/>
      <c r="H21" s="558"/>
      <c r="I21" s="558"/>
      <c r="J21" s="207">
        <f>J11*$L$22</f>
        <v>1177463.01136086</v>
      </c>
      <c r="K21" s="563"/>
      <c r="L21" s="571">
        <f t="shared" si="6"/>
        <v>1177463.01136086</v>
      </c>
      <c r="M21" s="564" t="s">
        <v>12</v>
      </c>
    </row>
    <row r="22" spans="1:13" s="531" customFormat="1" ht="18.75" customHeight="1" x14ac:dyDescent="0.2">
      <c r="A22" s="3"/>
      <c r="B22" s="56">
        <f t="shared" si="2"/>
        <v>19</v>
      </c>
      <c r="C22" s="551" t="s">
        <v>830</v>
      </c>
      <c r="D22" s="565">
        <f>'17-Revenues'!E7</f>
        <v>31302819</v>
      </c>
      <c r="E22" s="565">
        <f>'17-Revenues'!E8</f>
        <v>7931984</v>
      </c>
      <c r="F22" s="565">
        <f>'17-Revenues'!E9</f>
        <v>3965115</v>
      </c>
      <c r="G22" s="566">
        <f>'17-Revenues'!E16</f>
        <v>1723656</v>
      </c>
      <c r="H22" s="565">
        <f>'17-Revenues'!E15</f>
        <v>1309854</v>
      </c>
      <c r="I22" s="565">
        <f>'17-Revenues'!E10</f>
        <v>734936</v>
      </c>
      <c r="J22" s="565">
        <f>'17-Revenues'!E22</f>
        <v>1177463</v>
      </c>
      <c r="K22" s="567" t="s">
        <v>12</v>
      </c>
      <c r="L22" s="568">
        <f>'17-Revenues'!E19+'17-Revenues'!E22</f>
        <v>48145827</v>
      </c>
      <c r="M22" s="564"/>
    </row>
    <row r="23" spans="1:13" ht="18.75" customHeight="1" x14ac:dyDescent="0.25">
      <c r="A23" s="3"/>
      <c r="L23" s="427"/>
    </row>
    <row r="24" spans="1:13" ht="18.75" customHeight="1" x14ac:dyDescent="0.25">
      <c r="A24" s="3"/>
      <c r="B24" s="1" t="s">
        <v>944</v>
      </c>
      <c r="J24" s="381"/>
      <c r="L24" s="430"/>
    </row>
    <row r="25" spans="1:13" ht="18.75" customHeight="1" x14ac:dyDescent="0.25">
      <c r="A25" s="3"/>
    </row>
    <row r="26" spans="1:13" ht="18.75" customHeight="1" x14ac:dyDescent="0.25">
      <c r="A26" s="3"/>
    </row>
    <row r="27" spans="1:13" ht="18.75" customHeight="1" x14ac:dyDescent="0.25">
      <c r="A27" s="3"/>
    </row>
    <row r="28" spans="1:13" ht="18.75" customHeight="1" x14ac:dyDescent="0.25">
      <c r="A28" s="3"/>
    </row>
    <row r="29" spans="1:13" ht="18.75" customHeight="1" x14ac:dyDescent="0.25">
      <c r="A29" s="3"/>
    </row>
    <row r="30" spans="1:13" ht="18.75" customHeight="1" x14ac:dyDescent="0.25">
      <c r="A30" s="3"/>
    </row>
    <row r="31" spans="1:13" ht="18.75" customHeight="1" x14ac:dyDescent="0.25">
      <c r="A31" s="3"/>
    </row>
    <row r="32" spans="1:13" x14ac:dyDescent="0.25">
      <c r="A32" s="3"/>
    </row>
    <row r="33" spans="1:1" x14ac:dyDescent="0.25">
      <c r="A33" s="3"/>
    </row>
    <row r="34" spans="1:1" x14ac:dyDescent="0.25">
      <c r="A34" s="3"/>
    </row>
    <row r="35" spans="1:1" x14ac:dyDescent="0.25">
      <c r="A35" s="3"/>
    </row>
    <row r="36" spans="1:1" x14ac:dyDescent="0.25">
      <c r="A36" s="3"/>
    </row>
    <row r="37" spans="1:1" x14ac:dyDescent="0.25">
      <c r="A37" s="3"/>
    </row>
    <row r="38" spans="1:1" x14ac:dyDescent="0.25">
      <c r="A38" s="3"/>
    </row>
    <row r="39" spans="1:1" x14ac:dyDescent="0.25">
      <c r="A39" s="3"/>
    </row>
    <row r="40" spans="1:1" x14ac:dyDescent="0.25">
      <c r="A40" s="3"/>
    </row>
    <row r="41" spans="1:1" x14ac:dyDescent="0.25">
      <c r="A41" s="3"/>
    </row>
    <row r="42" spans="1:1" x14ac:dyDescent="0.25">
      <c r="A42" s="3"/>
    </row>
    <row r="43" spans="1:1" x14ac:dyDescent="0.25">
      <c r="A43" s="3"/>
    </row>
    <row r="44" spans="1:1" x14ac:dyDescent="0.25">
      <c r="A44" s="3"/>
    </row>
    <row r="45" spans="1:1" x14ac:dyDescent="0.25">
      <c r="A45" s="3"/>
    </row>
    <row r="46" spans="1:1" x14ac:dyDescent="0.25">
      <c r="A46" s="3"/>
    </row>
    <row r="47" spans="1:1" x14ac:dyDescent="0.25">
      <c r="A47" s="3"/>
    </row>
    <row r="64" spans="1:1" x14ac:dyDescent="0.25">
      <c r="A64" s="3"/>
    </row>
    <row r="65" spans="1:1" x14ac:dyDescent="0.25">
      <c r="A65" s="3"/>
    </row>
    <row r="66" spans="1:1" x14ac:dyDescent="0.25">
      <c r="A66" s="3"/>
    </row>
    <row r="67" spans="1:1" x14ac:dyDescent="0.25">
      <c r="A67" s="3"/>
    </row>
    <row r="68" spans="1:1" x14ac:dyDescent="0.25">
      <c r="A68" s="3"/>
    </row>
    <row r="69" spans="1:1" x14ac:dyDescent="0.25">
      <c r="A69" s="3"/>
    </row>
    <row r="70" spans="1:1" x14ac:dyDescent="0.25">
      <c r="A70" s="3"/>
    </row>
    <row r="71" spans="1:1" x14ac:dyDescent="0.25">
      <c r="A71" s="3"/>
    </row>
    <row r="72" spans="1:1" x14ac:dyDescent="0.25">
      <c r="A72" s="3"/>
    </row>
    <row r="73" spans="1:1" x14ac:dyDescent="0.25">
      <c r="A73" s="3"/>
    </row>
    <row r="74" spans="1:1" x14ac:dyDescent="0.25">
      <c r="A74" s="3"/>
    </row>
    <row r="75" spans="1:1" x14ac:dyDescent="0.25">
      <c r="A75" s="3"/>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08530-9778-4B68-94C9-53253021A1FB}">
  <sheetPr>
    <tabColor rgb="FFF2F2F2"/>
  </sheetPr>
  <dimension ref="A1:W44"/>
  <sheetViews>
    <sheetView showGridLines="0" topLeftCell="A29" workbookViewId="0">
      <selection activeCell="A43" sqref="A43:XFD65"/>
    </sheetView>
  </sheetViews>
  <sheetFormatPr defaultColWidth="9.140625" defaultRowHeight="15.75" customHeight="1" x14ac:dyDescent="0.25"/>
  <cols>
    <col min="1" max="1" width="2.7109375" style="406" customWidth="1"/>
    <col min="2" max="2" width="6.7109375" style="406" customWidth="1"/>
    <col min="3" max="3" width="36.28515625" style="33" customWidth="1"/>
    <col min="4" max="4" width="12.42578125" style="33" customWidth="1"/>
    <col min="5" max="5" width="14.42578125" style="33" customWidth="1"/>
    <col min="6" max="6" width="10.85546875" style="33" customWidth="1"/>
    <col min="7" max="23" width="11.7109375" style="5" customWidth="1"/>
    <col min="24" max="24" width="9.140625" style="5" customWidth="1"/>
    <col min="25" max="16384" width="9.140625" style="5"/>
  </cols>
  <sheetData>
    <row r="1" spans="1:23" s="9" customFormat="1" ht="9.75" customHeight="1" x14ac:dyDescent="0.25">
      <c r="B1" s="80"/>
    </row>
    <row r="2" spans="1:23" s="252" customFormat="1" ht="37.5" customHeight="1" x14ac:dyDescent="0.25">
      <c r="A2" s="408"/>
      <c r="B2" s="463" t="s">
        <v>11</v>
      </c>
      <c r="C2" s="464"/>
      <c r="D2" s="464"/>
      <c r="E2" s="464"/>
      <c r="F2" s="464"/>
      <c r="G2" s="112"/>
      <c r="H2" s="112"/>
      <c r="I2" s="112"/>
      <c r="J2" s="112"/>
      <c r="K2" s="112"/>
      <c r="L2" s="112"/>
      <c r="M2" s="112"/>
      <c r="N2" s="112"/>
      <c r="O2" s="112"/>
      <c r="P2" s="112"/>
      <c r="Q2" s="112"/>
      <c r="T2" s="252" t="s">
        <v>12</v>
      </c>
    </row>
    <row r="3" spans="1:23" s="1" customFormat="1" ht="18.75" customHeight="1" x14ac:dyDescent="0.25">
      <c r="A3" s="408"/>
      <c r="B3" s="499" t="s">
        <v>13</v>
      </c>
      <c r="C3" s="712" t="s">
        <v>14</v>
      </c>
      <c r="D3" s="712">
        <v>2022</v>
      </c>
      <c r="E3" s="712">
        <v>2021</v>
      </c>
      <c r="F3" s="712">
        <v>2020</v>
      </c>
      <c r="G3" s="712">
        <v>2019</v>
      </c>
      <c r="H3" s="712">
        <v>2018</v>
      </c>
      <c r="I3" s="712">
        <v>2017</v>
      </c>
      <c r="J3" s="712">
        <v>2016</v>
      </c>
      <c r="K3" s="712">
        <v>2015</v>
      </c>
      <c r="L3" s="712">
        <v>2014</v>
      </c>
      <c r="M3" s="712">
        <v>2013</v>
      </c>
      <c r="N3" s="712">
        <v>2012</v>
      </c>
      <c r="O3" s="712">
        <v>2011</v>
      </c>
      <c r="P3" s="712">
        <v>2010</v>
      </c>
      <c r="Q3" s="712">
        <v>2009</v>
      </c>
      <c r="R3" s="708">
        <v>2008</v>
      </c>
      <c r="S3" s="712">
        <v>2007</v>
      </c>
      <c r="T3" s="709">
        <v>2006</v>
      </c>
      <c r="U3" s="712">
        <v>2005</v>
      </c>
      <c r="V3" s="712">
        <v>2004</v>
      </c>
      <c r="W3" s="712">
        <v>2003</v>
      </c>
    </row>
    <row r="4" spans="1:23" s="1" customFormat="1" ht="18.75" customHeight="1" x14ac:dyDescent="0.25">
      <c r="A4" s="408"/>
      <c r="B4" s="405">
        <v>1</v>
      </c>
      <c r="C4" s="68" t="s">
        <v>15</v>
      </c>
      <c r="D4" s="68"/>
      <c r="E4" s="68"/>
      <c r="F4" s="68"/>
      <c r="G4" s="83"/>
      <c r="H4" s="68"/>
      <c r="I4" s="68"/>
      <c r="J4" s="68"/>
      <c r="K4" s="68"/>
      <c r="L4" s="68"/>
      <c r="M4" s="68"/>
      <c r="N4" s="68"/>
      <c r="O4" s="68"/>
      <c r="P4" s="68"/>
      <c r="Q4" s="68"/>
      <c r="R4" s="218"/>
      <c r="S4" s="68"/>
      <c r="T4" s="421"/>
      <c r="U4" s="68"/>
      <c r="V4" s="68"/>
      <c r="W4" s="68"/>
    </row>
    <row r="5" spans="1:23" s="1" customFormat="1" ht="18.75" customHeight="1" x14ac:dyDescent="0.25">
      <c r="A5" s="408"/>
      <c r="B5" s="455">
        <f>B4+1</f>
        <v>2</v>
      </c>
      <c r="C5" s="68" t="s">
        <v>16</v>
      </c>
      <c r="D5" s="78">
        <v>35382</v>
      </c>
      <c r="E5" s="78">
        <v>33986</v>
      </c>
      <c r="F5" s="78">
        <v>35733</v>
      </c>
      <c r="G5" s="83">
        <v>33409</v>
      </c>
      <c r="H5" s="83">
        <v>31281</v>
      </c>
      <c r="I5" s="83">
        <v>31257</v>
      </c>
      <c r="J5" s="83">
        <v>30218</v>
      </c>
      <c r="K5" s="83">
        <v>29682</v>
      </c>
      <c r="L5" s="83">
        <v>29079</v>
      </c>
      <c r="M5" s="83">
        <v>26796</v>
      </c>
      <c r="N5" s="83">
        <v>26114</v>
      </c>
      <c r="O5" s="83">
        <v>25693</v>
      </c>
      <c r="P5" s="83">
        <v>24478</v>
      </c>
      <c r="Q5" s="83">
        <v>23299</v>
      </c>
      <c r="R5" s="72">
        <v>20572</v>
      </c>
      <c r="S5" s="83">
        <v>19722</v>
      </c>
      <c r="T5" s="424">
        <v>17972</v>
      </c>
      <c r="U5" s="83">
        <v>16737</v>
      </c>
      <c r="V5" s="83">
        <v>13789</v>
      </c>
      <c r="W5" s="83">
        <v>12574</v>
      </c>
    </row>
    <row r="6" spans="1:23" s="1" customFormat="1" ht="18.75" customHeight="1" x14ac:dyDescent="0.25">
      <c r="A6" s="408"/>
      <c r="B6" s="455">
        <f t="shared" ref="B6:B10" si="0">B5+1</f>
        <v>3</v>
      </c>
      <c r="C6" s="68" t="s">
        <v>17</v>
      </c>
      <c r="D6" s="78">
        <v>15704</v>
      </c>
      <c r="E6" s="78">
        <v>14575</v>
      </c>
      <c r="F6" s="78">
        <v>14068</v>
      </c>
      <c r="G6" s="83">
        <v>14441</v>
      </c>
      <c r="H6" s="83">
        <v>13578</v>
      </c>
      <c r="I6" s="83">
        <v>13729</v>
      </c>
      <c r="J6" s="83">
        <v>13760</v>
      </c>
      <c r="K6" s="83">
        <v>13822</v>
      </c>
      <c r="L6" s="83">
        <v>13267</v>
      </c>
      <c r="M6" s="83">
        <v>12299</v>
      </c>
      <c r="N6" s="83">
        <v>12114</v>
      </c>
      <c r="O6" s="83">
        <v>11820</v>
      </c>
      <c r="P6" s="83">
        <v>11440</v>
      </c>
      <c r="Q6" s="83">
        <v>10734</v>
      </c>
      <c r="R6" s="72">
        <v>9671</v>
      </c>
      <c r="S6" s="83">
        <v>9290</v>
      </c>
      <c r="T6" s="424">
        <v>8497</v>
      </c>
      <c r="U6" s="83">
        <v>8009</v>
      </c>
      <c r="V6" s="83">
        <v>6893</v>
      </c>
      <c r="W6" s="83">
        <v>6598</v>
      </c>
    </row>
    <row r="7" spans="1:23" s="1" customFormat="1" ht="18.75" customHeight="1" x14ac:dyDescent="0.25">
      <c r="A7" s="408"/>
      <c r="B7" s="455">
        <f t="shared" si="0"/>
        <v>4</v>
      </c>
      <c r="C7" s="209" t="s">
        <v>18</v>
      </c>
      <c r="D7" s="699">
        <f>481+157+28+3814</f>
        <v>4480</v>
      </c>
      <c r="E7" s="699">
        <v>3247</v>
      </c>
      <c r="F7" s="699">
        <v>4051</v>
      </c>
      <c r="G7" s="83">
        <v>3728</v>
      </c>
      <c r="H7" s="152">
        <v>3578</v>
      </c>
      <c r="I7" s="379">
        <v>3603</v>
      </c>
      <c r="J7" s="379">
        <v>3606</v>
      </c>
      <c r="K7" s="379">
        <v>3585</v>
      </c>
      <c r="L7" s="379">
        <v>3554</v>
      </c>
      <c r="M7" s="379">
        <v>3288</v>
      </c>
      <c r="N7" s="379">
        <v>3219</v>
      </c>
      <c r="O7" s="379">
        <v>3116</v>
      </c>
      <c r="P7" s="379">
        <v>3087</v>
      </c>
      <c r="Q7" s="379">
        <v>3010</v>
      </c>
      <c r="R7" s="454">
        <v>2595</v>
      </c>
      <c r="S7" s="83">
        <v>2421</v>
      </c>
      <c r="T7" s="596">
        <v>2189</v>
      </c>
      <c r="U7" s="379">
        <v>2059</v>
      </c>
      <c r="V7" s="379">
        <v>1822</v>
      </c>
      <c r="W7" s="379">
        <v>1717</v>
      </c>
    </row>
    <row r="8" spans="1:23" s="1" customFormat="1" ht="18.75" customHeight="1" x14ac:dyDescent="0.25">
      <c r="A8" s="408"/>
      <c r="B8" s="455">
        <f t="shared" si="0"/>
        <v>5</v>
      </c>
      <c r="C8" s="68" t="s">
        <v>19</v>
      </c>
      <c r="D8" s="83">
        <f>SUM(D5:D7)</f>
        <v>55566</v>
      </c>
      <c r="E8" s="83">
        <f>SUM(E5:E7)</f>
        <v>51808</v>
      </c>
      <c r="F8" s="83">
        <f>SUM(F5:F7)</f>
        <v>53852</v>
      </c>
      <c r="G8" s="83">
        <f>SUM(G5:G7)</f>
        <v>51578</v>
      </c>
      <c r="H8" s="83">
        <f>SUM(H5:H7)</f>
        <v>48437</v>
      </c>
      <c r="I8" s="83">
        <f t="shared" ref="I8:W8" si="1">SUM(I5:I7)</f>
        <v>48589</v>
      </c>
      <c r="J8" s="83">
        <f t="shared" si="1"/>
        <v>47584</v>
      </c>
      <c r="K8" s="83">
        <f t="shared" si="1"/>
        <v>47089</v>
      </c>
      <c r="L8" s="83">
        <f t="shared" si="1"/>
        <v>45900</v>
      </c>
      <c r="M8" s="83">
        <f t="shared" si="1"/>
        <v>42383</v>
      </c>
      <c r="N8" s="83">
        <f t="shared" si="1"/>
        <v>41447</v>
      </c>
      <c r="O8" s="83">
        <f t="shared" si="1"/>
        <v>40629</v>
      </c>
      <c r="P8" s="83">
        <f t="shared" si="1"/>
        <v>39005</v>
      </c>
      <c r="Q8" s="83">
        <f t="shared" si="1"/>
        <v>37043</v>
      </c>
      <c r="R8" s="72">
        <f t="shared" si="1"/>
        <v>32838</v>
      </c>
      <c r="S8" s="83">
        <f t="shared" si="1"/>
        <v>31433</v>
      </c>
      <c r="T8" s="424">
        <f>SUM(T5:T7)</f>
        <v>28658</v>
      </c>
      <c r="U8" s="83">
        <f t="shared" si="1"/>
        <v>26805</v>
      </c>
      <c r="V8" s="83">
        <f t="shared" si="1"/>
        <v>22504</v>
      </c>
      <c r="W8" s="83">
        <f t="shared" si="1"/>
        <v>20889</v>
      </c>
    </row>
    <row r="9" spans="1:23" s="138" customFormat="1" ht="18.75" customHeight="1" x14ac:dyDescent="0.25">
      <c r="A9" s="408"/>
      <c r="B9" s="455">
        <f t="shared" si="0"/>
        <v>6</v>
      </c>
      <c r="C9" s="459" t="s">
        <v>20</v>
      </c>
      <c r="D9" s="700">
        <v>21100</v>
      </c>
      <c r="E9" s="700">
        <v>20100</v>
      </c>
      <c r="F9" s="700">
        <v>19989</v>
      </c>
      <c r="G9" s="83">
        <v>20157</v>
      </c>
      <c r="H9" s="456">
        <v>19517</v>
      </c>
      <c r="I9" s="457">
        <v>18378</v>
      </c>
      <c r="J9" s="457">
        <v>18798</v>
      </c>
      <c r="K9" s="457">
        <v>18507</v>
      </c>
      <c r="L9" s="458">
        <v>18327</v>
      </c>
      <c r="M9" s="458">
        <v>19094</v>
      </c>
      <c r="N9" s="349">
        <v>18553</v>
      </c>
      <c r="O9" s="349">
        <v>19645</v>
      </c>
      <c r="P9" s="349">
        <v>18875</v>
      </c>
      <c r="Q9" s="349">
        <v>18233</v>
      </c>
      <c r="R9" s="460">
        <v>18298</v>
      </c>
      <c r="S9" s="207">
        <v>19058</v>
      </c>
      <c r="T9" s="597">
        <v>18769</v>
      </c>
      <c r="U9" s="349">
        <v>18657</v>
      </c>
      <c r="V9" s="349">
        <v>18116</v>
      </c>
      <c r="W9" s="349">
        <v>17498</v>
      </c>
    </row>
    <row r="10" spans="1:23" s="138" customFormat="1" ht="18.75" customHeight="1" x14ac:dyDescent="0.25">
      <c r="A10" s="408"/>
      <c r="B10" s="455">
        <f t="shared" si="0"/>
        <v>7</v>
      </c>
      <c r="C10" s="254" t="s">
        <v>21</v>
      </c>
      <c r="D10" s="699">
        <v>1065</v>
      </c>
      <c r="E10" s="699">
        <v>999</v>
      </c>
      <c r="F10" s="646">
        <v>987</v>
      </c>
      <c r="G10" s="83">
        <v>984</v>
      </c>
      <c r="H10" s="336">
        <v>980</v>
      </c>
      <c r="I10" s="409">
        <v>973</v>
      </c>
      <c r="J10" s="409">
        <v>967</v>
      </c>
      <c r="K10" s="409">
        <v>958</v>
      </c>
      <c r="L10" s="410">
        <v>951</v>
      </c>
      <c r="M10" s="410">
        <v>945</v>
      </c>
      <c r="N10" s="207">
        <v>940</v>
      </c>
      <c r="O10" s="207">
        <v>929</v>
      </c>
      <c r="P10" s="207">
        <v>925</v>
      </c>
      <c r="Q10" s="207">
        <v>922</v>
      </c>
      <c r="R10" s="335">
        <v>884</v>
      </c>
      <c r="S10" s="207">
        <v>845</v>
      </c>
      <c r="T10" s="319">
        <v>817</v>
      </c>
      <c r="U10" s="207">
        <v>786</v>
      </c>
      <c r="V10" s="207">
        <v>752</v>
      </c>
      <c r="W10" s="207">
        <v>730</v>
      </c>
    </row>
    <row r="11" spans="1:23" s="138" customFormat="1" ht="18.75" customHeight="1" x14ac:dyDescent="0.25">
      <c r="A11" s="408"/>
      <c r="B11" s="455">
        <f t="shared" ref="B11:B37" si="2">B10+1</f>
        <v>8</v>
      </c>
      <c r="C11" s="254" t="s">
        <v>22</v>
      </c>
      <c r="D11" s="646">
        <f>98700+235200</f>
        <v>333900</v>
      </c>
      <c r="E11" s="646">
        <v>62375</v>
      </c>
      <c r="F11" s="646">
        <f>14950</f>
        <v>14950</v>
      </c>
      <c r="G11" s="336">
        <v>21676</v>
      </c>
      <c r="H11" s="336">
        <v>36598</v>
      </c>
      <c r="I11" s="409">
        <v>31709</v>
      </c>
      <c r="J11" s="409">
        <v>46368</v>
      </c>
      <c r="K11" s="409">
        <v>40873</v>
      </c>
      <c r="L11" s="410">
        <v>28523</v>
      </c>
      <c r="M11" s="410">
        <v>28051</v>
      </c>
      <c r="N11" s="207">
        <v>59653</v>
      </c>
      <c r="O11" s="207">
        <v>17212</v>
      </c>
      <c r="P11" s="207">
        <v>19886</v>
      </c>
      <c r="Q11" s="207">
        <v>200439</v>
      </c>
      <c r="R11" s="335">
        <v>206140</v>
      </c>
      <c r="S11" s="207">
        <v>147803</v>
      </c>
      <c r="T11" s="319">
        <v>159330</v>
      </c>
      <c r="U11" s="207">
        <v>212702</v>
      </c>
      <c r="V11" s="207">
        <v>114658</v>
      </c>
      <c r="W11" s="207">
        <v>44958</v>
      </c>
    </row>
    <row r="12" spans="1:23" s="1" customFormat="1" ht="18.75" customHeight="1" x14ac:dyDescent="0.25">
      <c r="A12" s="408"/>
      <c r="B12" s="455">
        <f t="shared" si="2"/>
        <v>9</v>
      </c>
      <c r="C12" s="68" t="s">
        <v>23</v>
      </c>
      <c r="D12" s="78">
        <v>76731</v>
      </c>
      <c r="E12" s="78">
        <v>73144</v>
      </c>
      <c r="F12" s="78">
        <v>72681</v>
      </c>
      <c r="G12" s="276">
        <v>71411</v>
      </c>
      <c r="H12" s="276">
        <v>70263</v>
      </c>
      <c r="I12" s="276">
        <v>69604</v>
      </c>
      <c r="J12" s="276">
        <v>67052</v>
      </c>
      <c r="K12" s="276">
        <v>66087</v>
      </c>
      <c r="L12" s="276">
        <v>65102</v>
      </c>
      <c r="M12" s="276">
        <v>64118</v>
      </c>
      <c r="N12" s="276">
        <v>63779</v>
      </c>
      <c r="O12" s="276">
        <v>62738</v>
      </c>
      <c r="P12" s="276">
        <v>62505</v>
      </c>
      <c r="Q12" s="276">
        <v>62186</v>
      </c>
      <c r="R12" s="290">
        <v>61527</v>
      </c>
      <c r="S12" s="276">
        <v>58890</v>
      </c>
      <c r="T12" s="424">
        <v>57578</v>
      </c>
      <c r="U12" s="83">
        <v>55731</v>
      </c>
      <c r="V12" s="83">
        <v>53134</v>
      </c>
      <c r="W12" s="83">
        <v>51916</v>
      </c>
    </row>
    <row r="13" spans="1:23" s="1" customFormat="1" ht="18.75" customHeight="1" x14ac:dyDescent="0.25">
      <c r="A13" s="408"/>
      <c r="B13" s="455">
        <f t="shared" si="2"/>
        <v>10</v>
      </c>
      <c r="C13" s="68" t="s">
        <v>24</v>
      </c>
      <c r="D13" s="78">
        <v>208000</v>
      </c>
      <c r="E13" s="78">
        <v>204000</v>
      </c>
      <c r="F13" s="78">
        <v>202000</v>
      </c>
      <c r="G13" s="83">
        <v>201000</v>
      </c>
      <c r="H13" s="83">
        <v>199000</v>
      </c>
      <c r="I13" s="83">
        <v>198000</v>
      </c>
      <c r="J13" s="83">
        <v>196000</v>
      </c>
      <c r="K13" s="83">
        <v>194000</v>
      </c>
      <c r="L13" s="83">
        <v>192000</v>
      </c>
      <c r="M13" s="83">
        <v>190000</v>
      </c>
      <c r="N13" s="83">
        <v>189000</v>
      </c>
      <c r="O13" s="83">
        <v>187000</v>
      </c>
      <c r="P13" s="83">
        <v>182000</v>
      </c>
      <c r="Q13" s="83">
        <v>180000</v>
      </c>
      <c r="R13" s="72">
        <v>176000</v>
      </c>
      <c r="S13" s="83">
        <v>171000</v>
      </c>
      <c r="T13" s="424">
        <v>166000</v>
      </c>
      <c r="U13" s="83">
        <v>161000</v>
      </c>
      <c r="V13" s="83">
        <v>158000</v>
      </c>
      <c r="W13" s="83">
        <v>156000</v>
      </c>
    </row>
    <row r="14" spans="1:23" s="1" customFormat="1" ht="18.75" customHeight="1" x14ac:dyDescent="0.25">
      <c r="A14" s="408"/>
      <c r="B14" s="455">
        <f t="shared" si="2"/>
        <v>11</v>
      </c>
      <c r="C14" s="465" t="s">
        <v>25</v>
      </c>
      <c r="D14" s="701">
        <v>116</v>
      </c>
      <c r="E14" s="701">
        <v>110</v>
      </c>
      <c r="F14" s="701">
        <v>108</v>
      </c>
      <c r="G14" s="302">
        <v>106</v>
      </c>
      <c r="H14" s="302">
        <v>109</v>
      </c>
      <c r="I14" s="302">
        <v>102</v>
      </c>
      <c r="J14" s="302">
        <v>103</v>
      </c>
      <c r="K14" s="302">
        <v>107</v>
      </c>
      <c r="L14" s="302">
        <v>107</v>
      </c>
      <c r="M14" s="302">
        <v>104</v>
      </c>
      <c r="N14" s="302">
        <v>105</v>
      </c>
      <c r="O14" s="302">
        <v>106</v>
      </c>
      <c r="P14" s="302">
        <v>111</v>
      </c>
      <c r="Q14" s="302">
        <v>111</v>
      </c>
      <c r="R14" s="411">
        <v>110</v>
      </c>
      <c r="S14" s="276">
        <v>109</v>
      </c>
      <c r="T14" s="421">
        <v>106</v>
      </c>
      <c r="U14" s="68">
        <v>97</v>
      </c>
      <c r="V14" s="68">
        <v>95</v>
      </c>
      <c r="W14" s="68">
        <v>92</v>
      </c>
    </row>
    <row r="15" spans="1:23" s="1" customFormat="1" ht="18.75" customHeight="1" x14ac:dyDescent="0.25">
      <c r="A15" s="408"/>
      <c r="B15" s="455">
        <f t="shared" si="2"/>
        <v>12</v>
      </c>
      <c r="C15" s="68"/>
      <c r="D15" s="78"/>
      <c r="E15" s="78"/>
      <c r="F15" s="78"/>
      <c r="G15" s="83"/>
      <c r="H15" s="83" t="s">
        <v>12</v>
      </c>
      <c r="I15" s="68" t="s">
        <v>12</v>
      </c>
      <c r="J15" s="68" t="s">
        <v>12</v>
      </c>
      <c r="K15" s="68"/>
      <c r="L15" s="68"/>
      <c r="M15" s="68"/>
      <c r="N15" s="68"/>
      <c r="O15" s="68"/>
      <c r="P15" s="68"/>
      <c r="Q15" s="76"/>
      <c r="R15" s="93"/>
      <c r="S15" s="76"/>
      <c r="T15" s="421"/>
      <c r="U15" s="68"/>
      <c r="V15" s="68"/>
      <c r="W15" s="68"/>
    </row>
    <row r="16" spans="1:23" s="1" customFormat="1" ht="18.75" customHeight="1" x14ac:dyDescent="0.25">
      <c r="A16" s="408"/>
      <c r="B16" s="455">
        <f t="shared" si="2"/>
        <v>13</v>
      </c>
      <c r="C16" s="68" t="s">
        <v>26</v>
      </c>
      <c r="D16" s="78"/>
      <c r="E16" s="78"/>
      <c r="F16" s="78"/>
      <c r="G16" s="276"/>
      <c r="H16" s="276"/>
      <c r="I16" s="276"/>
      <c r="J16" s="276"/>
      <c r="K16" s="276"/>
      <c r="L16" s="276"/>
      <c r="M16" s="276"/>
      <c r="N16" s="276"/>
      <c r="O16" s="276"/>
      <c r="P16" s="276"/>
      <c r="Q16" s="276"/>
      <c r="R16" s="290"/>
      <c r="S16" s="276"/>
      <c r="T16" s="421"/>
      <c r="U16" s="68"/>
      <c r="V16" s="68"/>
      <c r="W16" s="68"/>
    </row>
    <row r="17" spans="1:23" s="1" customFormat="1" ht="18.75" customHeight="1" x14ac:dyDescent="0.25">
      <c r="A17" s="408"/>
      <c r="B17" s="455">
        <f t="shared" si="2"/>
        <v>14</v>
      </c>
      <c r="C17" s="337" t="s">
        <v>27</v>
      </c>
      <c r="D17" s="702">
        <v>431205</v>
      </c>
      <c r="E17" s="702">
        <v>382909</v>
      </c>
      <c r="F17" s="702">
        <v>343623</v>
      </c>
      <c r="G17" s="300">
        <v>313224</v>
      </c>
      <c r="H17" s="300">
        <v>299157</v>
      </c>
      <c r="I17" s="300">
        <v>288787</v>
      </c>
      <c r="J17" s="300">
        <v>270907</v>
      </c>
      <c r="K17" s="300">
        <v>261420</v>
      </c>
      <c r="L17" s="300">
        <v>253194</v>
      </c>
      <c r="M17" s="300">
        <v>244237</v>
      </c>
      <c r="N17" s="300">
        <v>239539</v>
      </c>
      <c r="O17" s="300">
        <v>232277</v>
      </c>
      <c r="P17" s="300">
        <v>227677</v>
      </c>
      <c r="Q17" s="300">
        <v>221475</v>
      </c>
      <c r="R17" s="422">
        <v>210820</v>
      </c>
      <c r="S17" s="276">
        <v>191046</v>
      </c>
      <c r="T17" s="421"/>
      <c r="U17" s="68"/>
      <c r="V17" s="68"/>
      <c r="W17" s="68"/>
    </row>
    <row r="18" spans="1:23" s="1" customFormat="1" ht="18.75" customHeight="1" x14ac:dyDescent="0.25">
      <c r="A18" s="408"/>
      <c r="B18" s="455">
        <f t="shared" si="2"/>
        <v>15</v>
      </c>
      <c r="C18" s="68" t="s">
        <v>28</v>
      </c>
      <c r="D18" s="702">
        <v>50532</v>
      </c>
      <c r="E18" s="702">
        <v>34409</v>
      </c>
      <c r="F18" s="78">
        <f>32123+1176</f>
        <v>33299</v>
      </c>
      <c r="G18" s="276">
        <v>18425</v>
      </c>
      <c r="H18" s="276">
        <v>16882</v>
      </c>
      <c r="I18" s="276">
        <v>24602</v>
      </c>
      <c r="J18" s="276">
        <v>13158</v>
      </c>
      <c r="K18" s="276">
        <v>13844</v>
      </c>
      <c r="L18" s="276">
        <v>14139</v>
      </c>
      <c r="M18" s="276">
        <v>9852</v>
      </c>
      <c r="N18" s="276">
        <v>11543</v>
      </c>
      <c r="O18" s="276">
        <v>9472</v>
      </c>
      <c r="P18" s="276">
        <v>10541</v>
      </c>
      <c r="Q18" s="276">
        <v>12535</v>
      </c>
      <c r="R18" s="290">
        <v>24438</v>
      </c>
      <c r="S18" s="276">
        <v>18154</v>
      </c>
      <c r="T18" s="421"/>
      <c r="U18" s="68"/>
      <c r="V18" s="68"/>
      <c r="W18" s="68"/>
    </row>
    <row r="19" spans="1:23" s="1" customFormat="1" ht="18.75" customHeight="1" x14ac:dyDescent="0.25">
      <c r="A19" s="408" t="s">
        <v>29</v>
      </c>
      <c r="B19" s="455">
        <f t="shared" si="2"/>
        <v>16</v>
      </c>
      <c r="C19" s="68" t="s">
        <v>30</v>
      </c>
      <c r="D19" s="702">
        <v>510595</v>
      </c>
      <c r="E19" s="702">
        <v>458853</v>
      </c>
      <c r="F19" s="78">
        <v>406957</v>
      </c>
      <c r="G19" s="276">
        <v>363529</v>
      </c>
      <c r="H19" s="276">
        <v>345140</v>
      </c>
      <c r="I19" s="276">
        <v>332030</v>
      </c>
      <c r="J19" s="276">
        <v>320494</v>
      </c>
      <c r="K19" s="276">
        <v>310533</v>
      </c>
      <c r="L19" s="276">
        <v>300708</v>
      </c>
      <c r="M19" s="276">
        <v>282529</v>
      </c>
      <c r="N19" s="276">
        <v>282490</v>
      </c>
      <c r="O19" s="276">
        <v>274219</v>
      </c>
      <c r="P19" s="276">
        <v>259839</v>
      </c>
      <c r="Q19" s="276">
        <v>248837</v>
      </c>
      <c r="R19" s="290">
        <v>245249</v>
      </c>
      <c r="S19" s="276">
        <v>222354</v>
      </c>
      <c r="T19" s="421"/>
      <c r="U19" s="68"/>
      <c r="V19" s="68"/>
      <c r="W19" s="68"/>
    </row>
    <row r="20" spans="1:23" s="1" customFormat="1" ht="18.75" customHeight="1" x14ac:dyDescent="0.25">
      <c r="A20" s="408"/>
      <c r="B20" s="455">
        <f t="shared" si="2"/>
        <v>17</v>
      </c>
      <c r="C20" s="208" t="s">
        <v>31</v>
      </c>
      <c r="D20" s="702">
        <f>207183+139465</f>
        <v>346648</v>
      </c>
      <c r="E20" s="702">
        <f>152622+138869</f>
        <v>291491</v>
      </c>
      <c r="F20" s="645">
        <f>143252+134185</f>
        <v>277437</v>
      </c>
      <c r="G20" s="276">
        <v>228720</v>
      </c>
      <c r="H20" s="276">
        <v>219553</v>
      </c>
      <c r="I20" s="276">
        <v>209547</v>
      </c>
      <c r="J20" s="276">
        <v>198714</v>
      </c>
      <c r="K20" s="276">
        <v>193632</v>
      </c>
      <c r="L20" s="276">
        <v>186875</v>
      </c>
      <c r="M20" s="276">
        <v>186252</v>
      </c>
      <c r="N20" s="276">
        <v>182509</v>
      </c>
      <c r="O20" s="276">
        <v>177886</v>
      </c>
      <c r="P20" s="276">
        <v>173929</v>
      </c>
      <c r="Q20" s="276">
        <v>162584</v>
      </c>
      <c r="R20" s="290">
        <v>154106</v>
      </c>
      <c r="S20" s="276">
        <v>136607</v>
      </c>
      <c r="T20" s="421"/>
      <c r="U20" s="68"/>
      <c r="V20" s="68"/>
      <c r="W20" s="68"/>
    </row>
    <row r="21" spans="1:23" s="1" customFormat="1" ht="18.75" customHeight="1" x14ac:dyDescent="0.25">
      <c r="A21" s="408"/>
      <c r="B21" s="455">
        <f t="shared" si="2"/>
        <v>18</v>
      </c>
      <c r="C21" s="208" t="s">
        <v>32</v>
      </c>
      <c r="D21" s="702">
        <v>139465</v>
      </c>
      <c r="E21" s="702">
        <f>138869+7500</f>
        <v>146369</v>
      </c>
      <c r="F21" s="645">
        <f>123573+0</f>
        <v>123573</v>
      </c>
      <c r="G21" s="276">
        <f>94535+6500</f>
        <v>101035</v>
      </c>
      <c r="H21" s="276">
        <v>93358</v>
      </c>
      <c r="I21" s="276">
        <v>90142</v>
      </c>
      <c r="J21" s="276">
        <v>84653</v>
      </c>
      <c r="K21" s="276">
        <v>84562</v>
      </c>
      <c r="L21" s="276">
        <v>82312</v>
      </c>
      <c r="M21" s="276">
        <v>82741</v>
      </c>
      <c r="N21" s="276">
        <v>82684</v>
      </c>
      <c r="O21" s="276">
        <v>82621</v>
      </c>
      <c r="P21" s="276">
        <v>82672</v>
      </c>
      <c r="Q21" s="276">
        <v>75662</v>
      </c>
      <c r="R21" s="290">
        <v>84340</v>
      </c>
      <c r="S21" s="276">
        <v>69335</v>
      </c>
      <c r="T21" s="421"/>
      <c r="U21" s="68"/>
      <c r="V21" s="68"/>
      <c r="W21" s="68"/>
    </row>
    <row r="22" spans="1:23" s="1" customFormat="1" ht="18.75" customHeight="1" x14ac:dyDescent="0.25">
      <c r="A22" s="408"/>
      <c r="B22" s="455">
        <f t="shared" si="2"/>
        <v>19</v>
      </c>
      <c r="C22" s="208" t="s">
        <v>33</v>
      </c>
      <c r="D22" s="703">
        <f>D21/D20</f>
        <v>0.40232454824490549</v>
      </c>
      <c r="E22" s="703">
        <f>E21/E20</f>
        <v>0.50213900257640887</v>
      </c>
      <c r="F22" s="703">
        <f>F21/F20</f>
        <v>0.44540922804096067</v>
      </c>
      <c r="G22" s="402">
        <v>0.437</v>
      </c>
      <c r="H22" s="402">
        <v>0.43</v>
      </c>
      <c r="I22" s="402">
        <v>0.43</v>
      </c>
      <c r="J22" s="402">
        <v>0.43</v>
      </c>
      <c r="K22" s="402">
        <v>0.44</v>
      </c>
      <c r="L22" s="402">
        <v>0.44</v>
      </c>
      <c r="M22" s="402">
        <v>0.44</v>
      </c>
      <c r="N22" s="402">
        <v>0.45</v>
      </c>
      <c r="O22" s="402">
        <v>0.46</v>
      </c>
      <c r="P22" s="402">
        <v>0.48</v>
      </c>
      <c r="Q22" s="402">
        <v>0.47</v>
      </c>
      <c r="R22" s="412">
        <v>0.55000000000000004</v>
      </c>
      <c r="S22" s="402">
        <v>0.51</v>
      </c>
      <c r="T22" s="421"/>
      <c r="U22" s="68"/>
      <c r="V22" s="68"/>
      <c r="W22" s="68"/>
    </row>
    <row r="23" spans="1:23" s="1" customFormat="1" ht="18.75" customHeight="1" x14ac:dyDescent="0.25">
      <c r="A23" s="408"/>
      <c r="B23" s="455">
        <f t="shared" si="2"/>
        <v>20</v>
      </c>
      <c r="C23" s="208" t="s">
        <v>34</v>
      </c>
      <c r="D23" s="702">
        <v>207183</v>
      </c>
      <c r="E23" s="702">
        <v>152622</v>
      </c>
      <c r="F23" s="645">
        <f>143252</f>
        <v>143252</v>
      </c>
      <c r="G23" s="276">
        <v>134185</v>
      </c>
      <c r="H23" s="276">
        <v>126195</v>
      </c>
      <c r="I23" s="276">
        <v>119405</v>
      </c>
      <c r="J23" s="276">
        <v>114061</v>
      </c>
      <c r="K23" s="276">
        <v>109070</v>
      </c>
      <c r="L23" s="276">
        <v>104563</v>
      </c>
      <c r="M23" s="276">
        <v>103511</v>
      </c>
      <c r="N23" s="276">
        <v>99825</v>
      </c>
      <c r="O23" s="276">
        <v>95265</v>
      </c>
      <c r="P23" s="276">
        <v>91257</v>
      </c>
      <c r="Q23" s="276">
        <v>86922</v>
      </c>
      <c r="R23" s="290">
        <v>69766</v>
      </c>
      <c r="S23" s="276">
        <v>67272</v>
      </c>
      <c r="T23" s="421"/>
      <c r="U23" s="68"/>
      <c r="V23" s="68"/>
      <c r="W23" s="68"/>
    </row>
    <row r="24" spans="1:23" s="1" customFormat="1" ht="18.75" customHeight="1" x14ac:dyDescent="0.25">
      <c r="A24" s="408"/>
      <c r="B24" s="603">
        <f t="shared" si="2"/>
        <v>21</v>
      </c>
      <c r="C24" s="465" t="s">
        <v>35</v>
      </c>
      <c r="D24" s="704">
        <f>1-D22</f>
        <v>0.59767545175509451</v>
      </c>
      <c r="E24" s="704">
        <f>1-E22</f>
        <v>0.49786099742359113</v>
      </c>
      <c r="F24" s="704">
        <f>1-F22</f>
        <v>0.55459077195903927</v>
      </c>
      <c r="G24" s="402">
        <v>0.56299999999999994</v>
      </c>
      <c r="H24" s="402">
        <v>0.56999999999999995</v>
      </c>
      <c r="I24" s="402">
        <v>0.56999999999999995</v>
      </c>
      <c r="J24" s="402">
        <v>0.56999999999999995</v>
      </c>
      <c r="K24" s="402">
        <v>0.56000000000000005</v>
      </c>
      <c r="L24" s="402">
        <v>0.56000000000000005</v>
      </c>
      <c r="M24" s="402">
        <v>0.56000000000000005</v>
      </c>
      <c r="N24" s="402">
        <v>0.55000000000000004</v>
      </c>
      <c r="O24" s="402">
        <v>0.54</v>
      </c>
      <c r="P24" s="402">
        <v>0.52</v>
      </c>
      <c r="Q24" s="402">
        <v>0.53</v>
      </c>
      <c r="R24" s="412">
        <v>0.45</v>
      </c>
      <c r="S24" s="402">
        <v>0.49</v>
      </c>
      <c r="T24" s="421"/>
      <c r="U24" s="68"/>
      <c r="V24" s="68"/>
      <c r="W24" s="68"/>
    </row>
    <row r="25" spans="1:23" s="1" customFormat="1" ht="18.75" customHeight="1" x14ac:dyDescent="0.25">
      <c r="A25" s="408"/>
      <c r="B25" s="405">
        <f t="shared" si="2"/>
        <v>22</v>
      </c>
      <c r="C25" s="318" t="s">
        <v>36</v>
      </c>
      <c r="D25" s="743">
        <v>14.5</v>
      </c>
      <c r="E25" s="743">
        <v>11.51</v>
      </c>
      <c r="F25" s="697">
        <v>10.97</v>
      </c>
      <c r="G25" s="600">
        <v>10.31</v>
      </c>
      <c r="H25" s="600">
        <v>9.75</v>
      </c>
      <c r="I25" s="124">
        <v>9.2799999999999994</v>
      </c>
      <c r="J25" s="124">
        <v>8.8699999999999992</v>
      </c>
      <c r="K25" s="124">
        <v>8.51</v>
      </c>
      <c r="L25" s="124">
        <v>8.15</v>
      </c>
      <c r="M25" s="124">
        <v>7.98</v>
      </c>
      <c r="N25" s="124">
        <v>7.73</v>
      </c>
      <c r="O25" s="124">
        <v>7.45</v>
      </c>
      <c r="P25" s="124">
        <v>7.19</v>
      </c>
      <c r="Q25" s="124">
        <v>6.92</v>
      </c>
      <c r="R25" s="413">
        <v>6.14</v>
      </c>
      <c r="S25" s="86">
        <v>5.97</v>
      </c>
      <c r="T25" s="421"/>
      <c r="U25" s="68"/>
      <c r="V25" s="68"/>
      <c r="W25" s="68"/>
    </row>
    <row r="26" spans="1:23" ht="18.75" customHeight="1" x14ac:dyDescent="0.25">
      <c r="B26" s="405">
        <f t="shared" si="2"/>
        <v>23</v>
      </c>
      <c r="C26" s="208" t="s">
        <v>37</v>
      </c>
      <c r="D26" s="742">
        <v>32.1</v>
      </c>
      <c r="E26" s="742">
        <v>36.17</v>
      </c>
      <c r="F26" s="601">
        <v>39.9</v>
      </c>
      <c r="G26" s="641">
        <v>32.07</v>
      </c>
      <c r="H26" s="601">
        <v>30.8</v>
      </c>
      <c r="I26" s="68">
        <v>33.6</v>
      </c>
      <c r="J26" s="68">
        <v>41.5</v>
      </c>
      <c r="K26" s="68">
        <v>25.7</v>
      </c>
      <c r="L26" s="68">
        <v>26.1</v>
      </c>
      <c r="M26" s="68">
        <v>27.9</v>
      </c>
      <c r="N26" s="68">
        <v>24.4</v>
      </c>
      <c r="O26" s="68">
        <v>24.8</v>
      </c>
      <c r="P26" s="68">
        <v>24.4</v>
      </c>
      <c r="Q26" s="68">
        <v>22.7</v>
      </c>
      <c r="R26" s="218">
        <v>21.2</v>
      </c>
      <c r="S26" s="208">
        <v>27.2</v>
      </c>
      <c r="T26" s="598"/>
      <c r="U26" s="189"/>
      <c r="V26" s="189"/>
      <c r="W26" s="189"/>
    </row>
    <row r="27" spans="1:23" s="1" customFormat="1" ht="18.75" customHeight="1" x14ac:dyDescent="0.25">
      <c r="A27" s="408"/>
      <c r="B27" s="405">
        <f t="shared" si="2"/>
        <v>24</v>
      </c>
      <c r="C27" s="208"/>
      <c r="D27" s="337"/>
      <c r="E27" s="702"/>
      <c r="F27" s="698"/>
      <c r="G27" s="602"/>
      <c r="H27" s="602"/>
      <c r="I27" s="404"/>
      <c r="J27" s="404"/>
      <c r="K27" s="404"/>
      <c r="L27" s="404"/>
      <c r="M27" s="404"/>
      <c r="N27" s="404"/>
      <c r="O27" s="404"/>
      <c r="P27" s="404"/>
      <c r="Q27" s="404"/>
      <c r="R27" s="414"/>
      <c r="S27" s="403"/>
      <c r="T27" s="421"/>
      <c r="U27" s="68"/>
      <c r="V27" s="68"/>
      <c r="W27" s="68"/>
    </row>
    <row r="28" spans="1:23" s="1" customFormat="1" ht="18.75" customHeight="1" x14ac:dyDescent="0.25">
      <c r="A28" s="408"/>
      <c r="B28" s="455">
        <f t="shared" si="2"/>
        <v>25</v>
      </c>
      <c r="C28" s="627" t="s">
        <v>38</v>
      </c>
      <c r="D28" s="337"/>
      <c r="E28" s="702"/>
      <c r="F28" s="627"/>
      <c r="G28" s="403"/>
      <c r="H28" s="403"/>
      <c r="I28" s="403"/>
      <c r="J28" s="403"/>
      <c r="K28" s="403"/>
      <c r="L28" s="403"/>
      <c r="M28" s="403"/>
      <c r="N28" s="403"/>
      <c r="O28" s="403"/>
      <c r="P28" s="403"/>
      <c r="Q28" s="403"/>
      <c r="R28" s="415"/>
      <c r="S28" s="403"/>
      <c r="T28" s="421"/>
      <c r="U28" s="68"/>
      <c r="V28" s="68"/>
      <c r="W28" s="68"/>
    </row>
    <row r="29" spans="1:23" s="1" customFormat="1" ht="18.75" customHeight="1" x14ac:dyDescent="0.25">
      <c r="A29" s="408"/>
      <c r="B29" s="455">
        <f t="shared" si="2"/>
        <v>26</v>
      </c>
      <c r="C29" s="208" t="s">
        <v>39</v>
      </c>
      <c r="D29" s="581">
        <v>60061</v>
      </c>
      <c r="E29" s="702">
        <v>55119</v>
      </c>
      <c r="F29" s="645">
        <v>53852</v>
      </c>
      <c r="G29" s="276">
        <v>51578</v>
      </c>
      <c r="H29" s="276">
        <v>48437</v>
      </c>
      <c r="I29" s="276">
        <v>48589</v>
      </c>
      <c r="J29" s="276">
        <v>47584</v>
      </c>
      <c r="K29" s="276">
        <v>47089</v>
      </c>
      <c r="L29" s="276">
        <v>45900</v>
      </c>
      <c r="M29" s="276">
        <v>42383</v>
      </c>
      <c r="N29" s="276">
        <v>41447</v>
      </c>
      <c r="O29" s="276">
        <v>40629</v>
      </c>
      <c r="P29" s="276">
        <v>39005</v>
      </c>
      <c r="Q29" s="276">
        <v>37043</v>
      </c>
      <c r="R29" s="290">
        <v>32838</v>
      </c>
      <c r="S29" s="276">
        <v>31433</v>
      </c>
      <c r="T29" s="421"/>
      <c r="U29" s="68"/>
      <c r="V29" s="68"/>
      <c r="W29" s="68"/>
    </row>
    <row r="30" spans="1:23" s="1" customFormat="1" ht="18.75" customHeight="1" x14ac:dyDescent="0.25">
      <c r="A30" s="408"/>
      <c r="B30" s="455">
        <f t="shared" si="2"/>
        <v>27</v>
      </c>
      <c r="C30" s="208" t="s">
        <v>40</v>
      </c>
      <c r="D30" s="581">
        <v>35578</v>
      </c>
      <c r="E30" s="702">
        <v>31723</v>
      </c>
      <c r="F30" s="645">
        <v>29421</v>
      </c>
      <c r="G30" s="276">
        <v>27792</v>
      </c>
      <c r="H30" s="276">
        <v>25920</v>
      </c>
      <c r="I30" s="276">
        <v>26116</v>
      </c>
      <c r="J30" s="276">
        <v>24696</v>
      </c>
      <c r="K30" s="276">
        <v>24428</v>
      </c>
      <c r="L30" s="276">
        <v>23823</v>
      </c>
      <c r="M30" s="276">
        <v>21622</v>
      </c>
      <c r="N30" s="276">
        <v>20874</v>
      </c>
      <c r="O30" s="276">
        <v>20754</v>
      </c>
      <c r="P30" s="276">
        <v>19238</v>
      </c>
      <c r="Q30" s="276">
        <v>19655</v>
      </c>
      <c r="R30" s="290">
        <v>18158</v>
      </c>
      <c r="S30" s="276">
        <v>17333</v>
      </c>
      <c r="T30" s="421"/>
      <c r="U30" s="68"/>
      <c r="V30" s="68"/>
      <c r="W30" s="68"/>
    </row>
    <row r="31" spans="1:23" s="1" customFormat="1" ht="18.75" customHeight="1" x14ac:dyDescent="0.25">
      <c r="A31" s="408"/>
      <c r="B31" s="455">
        <f t="shared" si="2"/>
        <v>28</v>
      </c>
      <c r="C31" s="208" t="s">
        <v>41</v>
      </c>
      <c r="D31" s="581">
        <v>24483</v>
      </c>
      <c r="E31" s="702">
        <v>23396</v>
      </c>
      <c r="F31" s="645">
        <v>24431</v>
      </c>
      <c r="G31" s="276">
        <v>23786</v>
      </c>
      <c r="H31" s="276">
        <v>22517</v>
      </c>
      <c r="I31" s="276">
        <v>22473</v>
      </c>
      <c r="J31" s="276">
        <v>22888</v>
      </c>
      <c r="K31" s="276">
        <v>22661</v>
      </c>
      <c r="L31" s="276">
        <v>22077</v>
      </c>
      <c r="M31" s="276">
        <v>20761</v>
      </c>
      <c r="N31" s="276">
        <v>20573</v>
      </c>
      <c r="O31" s="276">
        <v>19875</v>
      </c>
      <c r="P31" s="276">
        <v>19767</v>
      </c>
      <c r="Q31" s="276">
        <v>17388</v>
      </c>
      <c r="R31" s="290">
        <v>14680</v>
      </c>
      <c r="S31" s="276">
        <v>14100</v>
      </c>
      <c r="T31" s="421"/>
      <c r="U31" s="68"/>
      <c r="V31" s="68"/>
      <c r="W31" s="68"/>
    </row>
    <row r="32" spans="1:23" s="1" customFormat="1" ht="18.75" customHeight="1" x14ac:dyDescent="0.25">
      <c r="A32" s="408"/>
      <c r="B32" s="455">
        <f t="shared" si="2"/>
        <v>29</v>
      </c>
      <c r="C32" s="208" t="s">
        <v>42</v>
      </c>
      <c r="D32" s="581">
        <v>5114</v>
      </c>
      <c r="E32" s="702">
        <v>4926</v>
      </c>
      <c r="F32" s="645">
        <v>4177</v>
      </c>
      <c r="G32" s="276">
        <v>4758</v>
      </c>
      <c r="H32" s="276">
        <v>5280</v>
      </c>
      <c r="I32" s="276">
        <v>4484</v>
      </c>
      <c r="J32" s="276">
        <v>5037</v>
      </c>
      <c r="K32" s="276">
        <v>4976</v>
      </c>
      <c r="L32" s="276">
        <v>4996</v>
      </c>
      <c r="M32" s="276">
        <v>5267</v>
      </c>
      <c r="N32" s="276">
        <v>5249</v>
      </c>
      <c r="O32" s="276">
        <v>5260</v>
      </c>
      <c r="P32" s="276">
        <v>4894</v>
      </c>
      <c r="Q32" s="276">
        <v>4896</v>
      </c>
      <c r="R32" s="290">
        <v>4219</v>
      </c>
      <c r="S32" s="276">
        <v>4009</v>
      </c>
      <c r="T32" s="421"/>
      <c r="U32" s="68"/>
      <c r="V32" s="68"/>
      <c r="W32" s="68"/>
    </row>
    <row r="33" spans="1:23" s="1" customFormat="1" ht="18.75" customHeight="1" x14ac:dyDescent="0.25">
      <c r="A33" s="408"/>
      <c r="B33" s="455">
        <f t="shared" si="2"/>
        <v>30</v>
      </c>
      <c r="C33" s="68" t="s">
        <v>43</v>
      </c>
      <c r="D33" s="581">
        <v>15</v>
      </c>
      <c r="E33" s="702">
        <v>1120</v>
      </c>
      <c r="F33" s="78">
        <v>2018</v>
      </c>
      <c r="G33" s="308">
        <v>2240</v>
      </c>
      <c r="H33" s="308">
        <v>2491</v>
      </c>
      <c r="I33" s="308">
        <v>4543</v>
      </c>
      <c r="J33" s="308">
        <v>5409</v>
      </c>
      <c r="K33" s="276">
        <v>4740</v>
      </c>
      <c r="L33" s="276">
        <v>4870</v>
      </c>
      <c r="M33" s="276">
        <v>5812</v>
      </c>
      <c r="N33" s="276">
        <v>5606</v>
      </c>
      <c r="O33" s="276">
        <v>4959</v>
      </c>
      <c r="P33" s="276">
        <v>5578</v>
      </c>
      <c r="Q33" s="276">
        <v>4579</v>
      </c>
      <c r="R33" s="290">
        <v>3828</v>
      </c>
      <c r="S33" s="276">
        <v>3692</v>
      </c>
      <c r="T33" s="421"/>
      <c r="U33" s="68"/>
      <c r="V33" s="68"/>
      <c r="W33" s="68"/>
    </row>
    <row r="34" spans="1:23" s="1" customFormat="1" ht="18.75" customHeight="1" x14ac:dyDescent="0.25">
      <c r="A34" s="408"/>
      <c r="B34" s="455">
        <f t="shared" si="2"/>
        <v>31</v>
      </c>
      <c r="C34" s="68" t="s">
        <v>44</v>
      </c>
      <c r="D34" s="581">
        <v>19580</v>
      </c>
      <c r="E34" s="702">
        <v>16984</v>
      </c>
      <c r="F34" s="78">
        <v>16598</v>
      </c>
      <c r="G34" s="276">
        <v>14402</v>
      </c>
      <c r="H34" s="276">
        <v>13376</v>
      </c>
      <c r="I34" s="276">
        <v>12974</v>
      </c>
      <c r="J34" s="276">
        <v>11846</v>
      </c>
      <c r="K34" s="276">
        <v>12489</v>
      </c>
      <c r="L34" s="276">
        <v>11484</v>
      </c>
      <c r="M34" s="276">
        <v>9654</v>
      </c>
      <c r="N34" s="276">
        <v>9303</v>
      </c>
      <c r="O34" s="276">
        <v>9084</v>
      </c>
      <c r="P34" s="276">
        <v>8929</v>
      </c>
      <c r="Q34" s="276">
        <v>7512</v>
      </c>
      <c r="R34" s="290">
        <v>6431</v>
      </c>
      <c r="S34" s="276">
        <v>6414</v>
      </c>
      <c r="T34" s="421"/>
      <c r="U34" s="68"/>
      <c r="V34" s="68"/>
      <c r="W34" s="68"/>
    </row>
    <row r="35" spans="1:23" s="1" customFormat="1" ht="18.75" customHeight="1" x14ac:dyDescent="0.25">
      <c r="A35" s="408"/>
      <c r="B35" s="455">
        <f t="shared" si="2"/>
        <v>32</v>
      </c>
      <c r="C35" s="208" t="s">
        <v>45</v>
      </c>
      <c r="D35" s="152">
        <v>22018</v>
      </c>
      <c r="E35" s="702">
        <v>22959</v>
      </c>
      <c r="F35" s="645">
        <v>20235</v>
      </c>
      <c r="G35" s="312">
        <v>18881</v>
      </c>
      <c r="H35" s="312">
        <v>18372</v>
      </c>
      <c r="I35" s="276">
        <v>20211</v>
      </c>
      <c r="J35" s="276">
        <v>19365</v>
      </c>
      <c r="K35" s="276">
        <v>20710</v>
      </c>
      <c r="L35" s="276">
        <v>18438</v>
      </c>
      <c r="M35" s="276">
        <v>18766</v>
      </c>
      <c r="N35" s="276">
        <v>16422</v>
      </c>
      <c r="O35" s="276">
        <v>17474</v>
      </c>
      <c r="P35" s="276">
        <v>14755</v>
      </c>
      <c r="Q35" s="276">
        <v>15801</v>
      </c>
      <c r="R35" s="290">
        <v>11527</v>
      </c>
      <c r="S35" s="276">
        <v>10040</v>
      </c>
      <c r="T35" s="421"/>
      <c r="U35" s="68"/>
      <c r="V35" s="68"/>
      <c r="W35" s="68"/>
    </row>
    <row r="36" spans="1:23" s="1" customFormat="1" ht="18.75" customHeight="1" x14ac:dyDescent="0.25">
      <c r="A36" s="408"/>
      <c r="B36" s="455">
        <f t="shared" si="2"/>
        <v>33</v>
      </c>
      <c r="C36" s="68" t="s">
        <v>46</v>
      </c>
      <c r="D36" s="76">
        <v>9.5000000000000001E-2</v>
      </c>
      <c r="E36" s="76">
        <v>0.111</v>
      </c>
      <c r="F36" s="76">
        <v>0.11600000000000001</v>
      </c>
      <c r="G36" s="76">
        <v>0.107</v>
      </c>
      <c r="H36" s="76">
        <v>0.106</v>
      </c>
      <c r="I36" s="76">
        <v>0.109</v>
      </c>
      <c r="J36" s="76">
        <v>0.104</v>
      </c>
      <c r="K36" s="76">
        <v>0.115</v>
      </c>
      <c r="L36" s="76">
        <v>0.11</v>
      </c>
      <c r="M36" s="76">
        <v>9.2999999999999999E-2</v>
      </c>
      <c r="N36" s="76">
        <v>9.2999999999999999E-2</v>
      </c>
      <c r="O36" s="76">
        <v>9.5000000000000001E-2</v>
      </c>
      <c r="P36" s="76">
        <v>9.8000000000000004E-2</v>
      </c>
      <c r="Q36" s="76">
        <v>8.5999999999999993E-2</v>
      </c>
      <c r="R36" s="93">
        <v>9.1999999999999998E-2</v>
      </c>
      <c r="S36" s="76">
        <v>9.5000000000000001E-2</v>
      </c>
      <c r="T36" s="421"/>
      <c r="U36" s="68"/>
      <c r="V36" s="68"/>
      <c r="W36" s="68"/>
    </row>
    <row r="37" spans="1:23" s="1" customFormat="1" ht="18.75" customHeight="1" x14ac:dyDescent="0.25">
      <c r="A37" s="408"/>
      <c r="B37" s="455">
        <f t="shared" si="2"/>
        <v>34</v>
      </c>
      <c r="C37" s="68" t="s">
        <v>47</v>
      </c>
      <c r="D37" s="86">
        <v>0.78739999999999999</v>
      </c>
      <c r="E37" s="86">
        <v>0.7571</v>
      </c>
      <c r="F37" s="91">
        <v>0.72799999999999998</v>
      </c>
      <c r="G37" s="86">
        <v>0.69899999999999995</v>
      </c>
      <c r="H37" s="86">
        <v>0.67</v>
      </c>
      <c r="I37" s="86">
        <v>0.65</v>
      </c>
      <c r="J37" s="86">
        <v>0.63</v>
      </c>
      <c r="K37" s="86">
        <v>0.6</v>
      </c>
      <c r="L37" s="86">
        <v>0.57999999999999996</v>
      </c>
      <c r="M37" s="86">
        <v>0.56000000000000005</v>
      </c>
      <c r="N37" s="86">
        <v>0.54</v>
      </c>
      <c r="O37" s="86">
        <v>0.53</v>
      </c>
      <c r="P37" s="86">
        <v>0.52</v>
      </c>
      <c r="Q37" s="86">
        <v>0.51</v>
      </c>
      <c r="R37" s="123">
        <v>0.49</v>
      </c>
      <c r="S37" s="86">
        <v>0.48</v>
      </c>
      <c r="T37" s="421"/>
      <c r="U37" s="68"/>
      <c r="V37" s="68"/>
      <c r="W37" s="68"/>
    </row>
    <row r="38" spans="1:23" ht="18.75" customHeight="1" x14ac:dyDescent="0.25">
      <c r="E38" s="747"/>
    </row>
    <row r="39" spans="1:23" ht="18.75" customHeight="1" x14ac:dyDescent="0.25">
      <c r="B39" s="138" t="s">
        <v>48</v>
      </c>
    </row>
    <row r="40" spans="1:23" s="464" customFormat="1" ht="15" x14ac:dyDescent="0.25">
      <c r="A40" s="745"/>
      <c r="B40" s="464" t="s">
        <v>49</v>
      </c>
      <c r="C40" s="748" t="s">
        <v>50</v>
      </c>
    </row>
    <row r="41" spans="1:23" s="750" customFormat="1" ht="18.75" customHeight="1" x14ac:dyDescent="0.25">
      <c r="A41" s="749"/>
      <c r="B41" s="464" t="s">
        <v>51</v>
      </c>
      <c r="C41" s="748" t="s">
        <v>52</v>
      </c>
    </row>
    <row r="42" spans="1:23" s="33" customFormat="1" ht="18.75" customHeight="1" x14ac:dyDescent="0.25">
      <c r="A42" s="745"/>
      <c r="C42" s="746"/>
    </row>
    <row r="43" spans="1:23" x14ac:dyDescent="0.25"/>
    <row r="44" spans="1:23" x14ac:dyDescent="0.25"/>
  </sheetData>
  <hyperlinks>
    <hyperlink ref="C40" r:id="rId1" xr:uid="{665140EB-EE22-49F1-91B9-B9FAEAC8AF0A}"/>
    <hyperlink ref="C41" r:id="rId2" xr:uid="{9188F489-ED4F-4544-8C21-61AF8E60D74D}"/>
  </hyperlinks>
  <pageMargins left="0.7" right="0.7" top="0.75" bottom="0.75" header="0.3" footer="0.3"/>
  <pageSetup orientation="portrait"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61"/>
  <sheetViews>
    <sheetView showGridLines="0" workbookViewId="0"/>
  </sheetViews>
  <sheetFormatPr defaultColWidth="9.140625" defaultRowHeight="15" x14ac:dyDescent="0.25"/>
  <cols>
    <col min="1" max="1" width="2.7109375" style="4" customWidth="1"/>
    <col min="2" max="2" width="9.140625" style="5"/>
    <col min="3" max="3" width="23.85546875" style="5" customWidth="1"/>
    <col min="4" max="5" width="15.7109375" style="5" customWidth="1"/>
    <col min="6" max="6" width="12.7109375" style="5" customWidth="1"/>
    <col min="7" max="7" width="15.7109375" style="5" customWidth="1"/>
    <col min="8" max="8" width="12.7109375" style="5" customWidth="1"/>
    <col min="9" max="16384" width="9.140625" style="5"/>
  </cols>
  <sheetData>
    <row r="1" spans="1:8" s="9" customFormat="1" ht="9.75" customHeight="1" x14ac:dyDescent="0.25">
      <c r="B1" s="80"/>
    </row>
    <row r="2" spans="1:8" ht="37.5" customHeight="1" x14ac:dyDescent="0.25">
      <c r="A2" s="20"/>
      <c r="B2" s="50" t="s">
        <v>964</v>
      </c>
    </row>
    <row r="3" spans="1:8" s="33" customFormat="1" ht="18.75" customHeight="1" x14ac:dyDescent="0.25">
      <c r="A3" s="3"/>
      <c r="B3" s="712" t="s">
        <v>13</v>
      </c>
      <c r="C3" s="451" t="s">
        <v>965</v>
      </c>
      <c r="D3" s="712" t="s">
        <v>966</v>
      </c>
      <c r="E3" s="712" t="s">
        <v>967</v>
      </c>
      <c r="F3" s="712" t="s">
        <v>968</v>
      </c>
      <c r="G3" s="712" t="s">
        <v>969</v>
      </c>
      <c r="H3" s="712" t="s">
        <v>970</v>
      </c>
    </row>
    <row r="4" spans="1:8" s="33" customFormat="1" ht="18.75" customHeight="1" x14ac:dyDescent="0.25">
      <c r="A4" s="3"/>
      <c r="B4" s="56">
        <v>1</v>
      </c>
      <c r="C4" s="68" t="s">
        <v>971</v>
      </c>
      <c r="D4" s="505">
        <v>18.5</v>
      </c>
      <c r="E4" s="505">
        <v>16</v>
      </c>
      <c r="F4" s="203">
        <f>(E4-D4)/D4</f>
        <v>-0.13513513513513514</v>
      </c>
      <c r="G4" s="505">
        <v>16.25</v>
      </c>
      <c r="H4" s="203">
        <f>(G4-D4)/D4</f>
        <v>-0.12162162162162163</v>
      </c>
    </row>
    <row r="5" spans="1:8" s="33" customFormat="1" ht="18.75" customHeight="1" x14ac:dyDescent="0.25">
      <c r="A5" s="3"/>
      <c r="B5" s="56">
        <f>B4+1</f>
        <v>2</v>
      </c>
      <c r="C5" s="68" t="s">
        <v>470</v>
      </c>
      <c r="D5" s="504">
        <v>2290688</v>
      </c>
      <c r="E5" s="504">
        <v>1776643</v>
      </c>
      <c r="F5" s="203">
        <f>(E5-D5)/D5</f>
        <v>-0.22440637921881984</v>
      </c>
      <c r="G5" s="504">
        <v>2204243</v>
      </c>
      <c r="H5" s="203">
        <f>(G5-D5)/D5</f>
        <v>-3.7737570546490837E-2</v>
      </c>
    </row>
    <row r="6" spans="1:8" s="33" customFormat="1" ht="18.75" customHeight="1" x14ac:dyDescent="0.25">
      <c r="A6" s="3"/>
      <c r="B6" s="56">
        <f t="shared" ref="B6:B10" si="0">B5+1</f>
        <v>3</v>
      </c>
      <c r="C6" s="68" t="s">
        <v>471</v>
      </c>
      <c r="D6" s="504">
        <v>655990</v>
      </c>
      <c r="E6" s="504">
        <v>950648</v>
      </c>
      <c r="F6" s="203">
        <f t="shared" ref="F6:F9" si="1">(E6-D6)/D6</f>
        <v>0.44918062775347184</v>
      </c>
      <c r="G6" s="504">
        <v>690909</v>
      </c>
      <c r="H6" s="203">
        <f t="shared" ref="H6:H9" si="2">(G6-D6)/D6</f>
        <v>5.3230994374914249E-2</v>
      </c>
    </row>
    <row r="7" spans="1:8" s="33" customFormat="1" ht="18.75" customHeight="1" x14ac:dyDescent="0.25">
      <c r="A7" s="3"/>
      <c r="B7" s="56">
        <f t="shared" si="0"/>
        <v>4</v>
      </c>
      <c r="C7" s="68" t="s">
        <v>472</v>
      </c>
      <c r="D7" s="504">
        <v>326763</v>
      </c>
      <c r="E7" s="504">
        <v>441212</v>
      </c>
      <c r="F7" s="203">
        <f t="shared" si="1"/>
        <v>0.35025079338848031</v>
      </c>
      <c r="G7" s="504">
        <v>357518</v>
      </c>
      <c r="H7" s="203">
        <f t="shared" si="2"/>
        <v>9.4120203327794152E-2</v>
      </c>
    </row>
    <row r="8" spans="1:8" s="33" customFormat="1" ht="18.75" customHeight="1" x14ac:dyDescent="0.25">
      <c r="A8" s="3"/>
      <c r="B8" s="56">
        <f t="shared" si="0"/>
        <v>5</v>
      </c>
      <c r="C8" s="68" t="s">
        <v>856</v>
      </c>
      <c r="D8" s="504">
        <v>81033</v>
      </c>
      <c r="E8" s="504">
        <v>139803</v>
      </c>
      <c r="F8" s="203">
        <f t="shared" si="1"/>
        <v>0.72526007922698155</v>
      </c>
      <c r="G8" s="504">
        <v>101804</v>
      </c>
      <c r="H8" s="203">
        <f t="shared" si="2"/>
        <v>0.25632766897436848</v>
      </c>
    </row>
    <row r="9" spans="1:8" s="33" customFormat="1" ht="18.75" customHeight="1" thickBot="1" x14ac:dyDescent="0.3">
      <c r="A9" s="3"/>
      <c r="B9" s="56">
        <f t="shared" si="0"/>
        <v>6</v>
      </c>
      <c r="C9" s="68" t="s">
        <v>857</v>
      </c>
      <c r="D9" s="504">
        <v>3492</v>
      </c>
      <c r="E9" s="504">
        <v>49660</v>
      </c>
      <c r="F9" s="203">
        <f t="shared" si="1"/>
        <v>13.221076746849942</v>
      </c>
      <c r="G9" s="506">
        <v>3492</v>
      </c>
      <c r="H9" s="203">
        <f t="shared" si="2"/>
        <v>0</v>
      </c>
    </row>
    <row r="10" spans="1:8" s="33" customFormat="1" ht="18.75" customHeight="1" thickBot="1" x14ac:dyDescent="0.3">
      <c r="A10" s="3"/>
      <c r="B10" s="56">
        <f t="shared" si="0"/>
        <v>7</v>
      </c>
      <c r="C10" s="68" t="s">
        <v>972</v>
      </c>
      <c r="D10" s="504">
        <f>SUM(D4:D9)</f>
        <v>3357984.5</v>
      </c>
      <c r="E10" s="504">
        <f>SUM(E4:E9)</f>
        <v>3357982</v>
      </c>
      <c r="F10" s="507" t="s">
        <v>12</v>
      </c>
      <c r="G10" s="508">
        <f>SUM(G4:G9)</f>
        <v>3357982.25</v>
      </c>
      <c r="H10" s="509" t="s">
        <v>12</v>
      </c>
    </row>
    <row r="11" spans="1:8" ht="18.75" customHeight="1" x14ac:dyDescent="0.25">
      <c r="A11" s="3"/>
      <c r="D11" s="220"/>
      <c r="E11" s="220"/>
      <c r="F11" s="220"/>
      <c r="G11" s="220"/>
      <c r="H11" s="220"/>
    </row>
    <row r="12" spans="1:8" x14ac:dyDescent="0.25">
      <c r="A12" s="3"/>
      <c r="B12" s="100" t="s">
        <v>973</v>
      </c>
    </row>
    <row r="13" spans="1:8" x14ac:dyDescent="0.25">
      <c r="A13" s="3"/>
      <c r="B13" s="100" t="s">
        <v>974</v>
      </c>
    </row>
    <row r="14" spans="1:8" x14ac:dyDescent="0.25">
      <c r="A14" s="3"/>
      <c r="B14" s="100" t="s">
        <v>975</v>
      </c>
    </row>
    <row r="15" spans="1:8" x14ac:dyDescent="0.25">
      <c r="A15" s="3"/>
    </row>
    <row r="16" spans="1:8" x14ac:dyDescent="0.25">
      <c r="A16" s="3"/>
    </row>
    <row r="17" spans="1:1" x14ac:dyDescent="0.25">
      <c r="A17" s="3"/>
    </row>
    <row r="18" spans="1:1" x14ac:dyDescent="0.25">
      <c r="A18" s="3"/>
    </row>
    <row r="19" spans="1:1" x14ac:dyDescent="0.25">
      <c r="A19" s="3"/>
    </row>
    <row r="20" spans="1:1" x14ac:dyDescent="0.25">
      <c r="A20" s="3"/>
    </row>
    <row r="21" spans="1:1" x14ac:dyDescent="0.25">
      <c r="A21" s="3"/>
    </row>
    <row r="22" spans="1:1" x14ac:dyDescent="0.25">
      <c r="A22" s="3"/>
    </row>
    <row r="23" spans="1:1" x14ac:dyDescent="0.25">
      <c r="A23" s="3"/>
    </row>
    <row r="24" spans="1:1" x14ac:dyDescent="0.25">
      <c r="A24" s="3"/>
    </row>
    <row r="25" spans="1:1" x14ac:dyDescent="0.25">
      <c r="A25" s="3"/>
    </row>
    <row r="26" spans="1:1" x14ac:dyDescent="0.25">
      <c r="A26" s="3"/>
    </row>
    <row r="27" spans="1:1" x14ac:dyDescent="0.25">
      <c r="A27" s="3"/>
    </row>
    <row r="28" spans="1:1" x14ac:dyDescent="0.25">
      <c r="A28" s="3"/>
    </row>
    <row r="29" spans="1:1" x14ac:dyDescent="0.25">
      <c r="A29" s="3"/>
    </row>
    <row r="30" spans="1:1" x14ac:dyDescent="0.25">
      <c r="A30" s="3"/>
    </row>
    <row r="31" spans="1:1" x14ac:dyDescent="0.25">
      <c r="A31" s="3"/>
    </row>
    <row r="32" spans="1:1" x14ac:dyDescent="0.25">
      <c r="A32" s="3"/>
    </row>
    <row r="33" spans="1:1" x14ac:dyDescent="0.25">
      <c r="A33" s="3"/>
    </row>
    <row r="50" spans="1:1" x14ac:dyDescent="0.25">
      <c r="A50" s="3"/>
    </row>
    <row r="51" spans="1:1" x14ac:dyDescent="0.25">
      <c r="A51" s="3"/>
    </row>
    <row r="52" spans="1:1" x14ac:dyDescent="0.25">
      <c r="A52" s="3"/>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61"/>
  <sheetViews>
    <sheetView showGridLines="0" workbookViewId="0"/>
  </sheetViews>
  <sheetFormatPr defaultColWidth="9.140625" defaultRowHeight="15" x14ac:dyDescent="0.25"/>
  <cols>
    <col min="1" max="1" width="2.7109375" style="4" customWidth="1"/>
    <col min="2" max="2" width="9.140625" style="5"/>
    <col min="3" max="3" width="20.28515625" style="5" customWidth="1"/>
    <col min="4" max="4" width="14.7109375" style="5" customWidth="1"/>
    <col min="5" max="5" width="2.28515625" style="221" customWidth="1"/>
    <col min="6" max="6" width="14.7109375" style="5" customWidth="1"/>
    <col min="7" max="7" width="8.7109375" style="221" customWidth="1"/>
    <col min="8" max="8" width="2.28515625" style="221" customWidth="1"/>
    <col min="9" max="10" width="14.7109375" style="5" customWidth="1"/>
    <col min="11" max="11" width="8.7109375" style="221" customWidth="1"/>
    <col min="12" max="12" width="9.140625" style="5"/>
    <col min="13" max="13" width="10.7109375" style="5" bestFit="1" customWidth="1"/>
    <col min="14" max="16384" width="9.140625" style="5"/>
  </cols>
  <sheetData>
    <row r="1" spans="1:13" s="9" customFormat="1" ht="9.75" customHeight="1" x14ac:dyDescent="0.25">
      <c r="B1" s="80"/>
    </row>
    <row r="2" spans="1:13" s="358" customFormat="1" ht="37.5" customHeight="1" x14ac:dyDescent="0.25">
      <c r="A2" s="360"/>
      <c r="B2" s="361" t="s">
        <v>976</v>
      </c>
      <c r="E2" s="359"/>
      <c r="G2" s="359"/>
      <c r="H2" s="359"/>
      <c r="K2" s="359"/>
    </row>
    <row r="3" spans="1:13" s="363" customFormat="1" ht="27.75" customHeight="1" x14ac:dyDescent="0.25">
      <c r="A3" s="362"/>
      <c r="B3" s="712" t="s">
        <v>977</v>
      </c>
      <c r="C3" s="712"/>
      <c r="D3" s="376" t="s">
        <v>978</v>
      </c>
      <c r="E3" s="712"/>
      <c r="F3" s="763" t="s">
        <v>979</v>
      </c>
      <c r="G3" s="761"/>
      <c r="H3" s="712"/>
      <c r="I3" s="763" t="s">
        <v>980</v>
      </c>
      <c r="J3" s="772"/>
      <c r="K3" s="772"/>
    </row>
    <row r="4" spans="1:13" s="575" customFormat="1" ht="27" customHeight="1" x14ac:dyDescent="0.25">
      <c r="A4" s="64"/>
      <c r="B4" s="58">
        <v>1</v>
      </c>
      <c r="C4" s="519" t="s">
        <v>981</v>
      </c>
      <c r="D4" s="572" t="s">
        <v>982</v>
      </c>
      <c r="E4" s="573"/>
      <c r="F4" s="572" t="s">
        <v>983</v>
      </c>
      <c r="G4" s="574" t="s">
        <v>984</v>
      </c>
      <c r="H4" s="573"/>
      <c r="I4" s="519" t="s">
        <v>985</v>
      </c>
      <c r="J4" s="519" t="s">
        <v>986</v>
      </c>
      <c r="K4" s="574" t="s">
        <v>984</v>
      </c>
    </row>
    <row r="5" spans="1:13" s="33" customFormat="1" ht="18.75" customHeight="1" x14ac:dyDescent="0.25">
      <c r="A5" s="3"/>
      <c r="B5" s="56">
        <f t="shared" ref="B5:B27" si="0">+B4+1</f>
        <v>2</v>
      </c>
      <c r="C5" s="68" t="s">
        <v>987</v>
      </c>
      <c r="D5" s="113">
        <v>8910814</v>
      </c>
      <c r="E5" s="113"/>
      <c r="F5" s="113">
        <v>10263422</v>
      </c>
      <c r="G5" s="147">
        <f>(F5-D5)/D5</f>
        <v>0.15179398874221817</v>
      </c>
      <c r="H5" s="147"/>
      <c r="I5" s="83">
        <v>9594000</v>
      </c>
      <c r="J5" s="83">
        <v>683186</v>
      </c>
      <c r="K5" s="147">
        <f>J5/D5</f>
        <v>7.6669314385868673E-2</v>
      </c>
      <c r="L5" s="33" t="s">
        <v>12</v>
      </c>
    </row>
    <row r="6" spans="1:13" s="33" customFormat="1" ht="18.75" customHeight="1" x14ac:dyDescent="0.25">
      <c r="A6" s="3"/>
      <c r="B6" s="56">
        <f t="shared" si="0"/>
        <v>3</v>
      </c>
      <c r="C6" s="68" t="s">
        <v>988</v>
      </c>
      <c r="D6" s="113">
        <v>21129246</v>
      </c>
      <c r="E6" s="113"/>
      <c r="F6" s="113">
        <v>24139972</v>
      </c>
      <c r="G6" s="147">
        <f t="shared" ref="G6:G7" si="1">(F6-D6)/D6</f>
        <v>0.14249093412987857</v>
      </c>
      <c r="H6" s="147"/>
      <c r="I6" s="83">
        <v>22650303</v>
      </c>
      <c r="J6" s="576">
        <v>1521057</v>
      </c>
      <c r="K6" s="147">
        <f t="shared" ref="K6:K7" si="2">J6/D6</f>
        <v>7.1988229016785546E-2</v>
      </c>
    </row>
    <row r="7" spans="1:13" s="33" customFormat="1" ht="18.75" customHeight="1" x14ac:dyDescent="0.25">
      <c r="A7" s="3"/>
      <c r="B7" s="577">
        <f t="shared" si="0"/>
        <v>4</v>
      </c>
      <c r="C7" s="337" t="s">
        <v>660</v>
      </c>
      <c r="D7" s="578">
        <f t="shared" ref="D7:J7" si="3">SUM(D5:D6)</f>
        <v>30040060</v>
      </c>
      <c r="E7" s="578"/>
      <c r="F7" s="578">
        <f t="shared" si="3"/>
        <v>34403394</v>
      </c>
      <c r="G7" s="579">
        <f t="shared" si="1"/>
        <v>0.14525050882055496</v>
      </c>
      <c r="H7" s="579"/>
      <c r="I7" s="578">
        <f t="shared" si="3"/>
        <v>32244303</v>
      </c>
      <c r="J7" s="578">
        <f t="shared" si="3"/>
        <v>2204243</v>
      </c>
      <c r="K7" s="579">
        <f t="shared" si="2"/>
        <v>7.3376784200830492E-2</v>
      </c>
      <c r="L7" s="33" t="s">
        <v>12</v>
      </c>
    </row>
    <row r="8" spans="1:13" s="33" customFormat="1" ht="18.75" customHeight="1" x14ac:dyDescent="0.25">
      <c r="A8" s="3"/>
      <c r="B8" s="56">
        <f t="shared" si="0"/>
        <v>5</v>
      </c>
      <c r="C8" s="68" t="s">
        <v>12</v>
      </c>
      <c r="D8" s="539"/>
      <c r="E8" s="539"/>
      <c r="F8" s="539"/>
      <c r="G8" s="580"/>
      <c r="H8" s="580"/>
      <c r="I8" s="581"/>
      <c r="J8" s="581"/>
      <c r="K8" s="582"/>
    </row>
    <row r="9" spans="1:13" s="33" customFormat="1" ht="18.75" customHeight="1" x14ac:dyDescent="0.25">
      <c r="A9" s="3"/>
      <c r="B9" s="56">
        <f t="shared" si="0"/>
        <v>6</v>
      </c>
      <c r="C9" s="68" t="s">
        <v>989</v>
      </c>
      <c r="D9" s="113">
        <v>3334992</v>
      </c>
      <c r="E9" s="113"/>
      <c r="F9" s="113">
        <v>3795823</v>
      </c>
      <c r="G9" s="147">
        <f t="shared" ref="G9:G27" si="4">(F9-D9)/D9</f>
        <v>0.13818054136261795</v>
      </c>
      <c r="H9" s="147"/>
      <c r="I9" s="83">
        <v>3590544</v>
      </c>
      <c r="J9" s="83">
        <v>255552</v>
      </c>
      <c r="K9" s="147">
        <f t="shared" ref="K9:K11" si="5">J9/D9</f>
        <v>7.6627470170842982E-2</v>
      </c>
    </row>
    <row r="10" spans="1:13" s="33" customFormat="1" ht="18.75" customHeight="1" x14ac:dyDescent="0.25">
      <c r="A10" s="3"/>
      <c r="B10" s="56">
        <f t="shared" si="0"/>
        <v>7</v>
      </c>
      <c r="C10" s="68" t="s">
        <v>990</v>
      </c>
      <c r="D10" s="379">
        <v>6079930</v>
      </c>
      <c r="E10" s="379"/>
      <c r="F10" s="379">
        <v>6868128</v>
      </c>
      <c r="G10" s="521">
        <f t="shared" si="4"/>
        <v>0.12963932150534627</v>
      </c>
      <c r="H10" s="521"/>
      <c r="I10" s="379">
        <v>6515287</v>
      </c>
      <c r="J10" s="379">
        <v>435357</v>
      </c>
      <c r="K10" s="521">
        <f t="shared" si="5"/>
        <v>7.1605594143353629E-2</v>
      </c>
    </row>
    <row r="11" spans="1:13" s="33" customFormat="1" ht="18.75" customHeight="1" x14ac:dyDescent="0.25">
      <c r="A11" s="3"/>
      <c r="B11" s="56">
        <f t="shared" si="0"/>
        <v>8</v>
      </c>
      <c r="C11" s="68" t="s">
        <v>660</v>
      </c>
      <c r="D11" s="117">
        <f t="shared" ref="D11:J11" si="6">SUM(D9:D10)</f>
        <v>9414922</v>
      </c>
      <c r="E11" s="117"/>
      <c r="F11" s="117">
        <f t="shared" si="6"/>
        <v>10663951</v>
      </c>
      <c r="G11" s="583">
        <f t="shared" si="4"/>
        <v>0.13266482717541367</v>
      </c>
      <c r="H11" s="583"/>
      <c r="I11" s="117">
        <f t="shared" si="6"/>
        <v>10105831</v>
      </c>
      <c r="J11" s="117">
        <f t="shared" si="6"/>
        <v>690909</v>
      </c>
      <c r="K11" s="583">
        <f t="shared" si="5"/>
        <v>7.3384463514408305E-2</v>
      </c>
      <c r="M11" s="584" t="s">
        <v>12</v>
      </c>
    </row>
    <row r="12" spans="1:13" s="33" customFormat="1" ht="18.75" customHeight="1" x14ac:dyDescent="0.25">
      <c r="A12" s="3"/>
      <c r="B12" s="56">
        <f t="shared" si="0"/>
        <v>9</v>
      </c>
      <c r="C12" s="68" t="s">
        <v>12</v>
      </c>
      <c r="D12" s="581"/>
      <c r="E12" s="581"/>
      <c r="F12" s="581"/>
      <c r="G12" s="337"/>
      <c r="H12" s="337"/>
      <c r="I12" s="581"/>
      <c r="J12" s="483"/>
      <c r="K12" s="582"/>
    </row>
    <row r="13" spans="1:13" s="33" customFormat="1" ht="18.75" customHeight="1" x14ac:dyDescent="0.25">
      <c r="A13" s="3"/>
      <c r="B13" s="56">
        <f t="shared" si="0"/>
        <v>10</v>
      </c>
      <c r="C13" s="68" t="s">
        <v>991</v>
      </c>
      <c r="D13" s="83">
        <v>818072</v>
      </c>
      <c r="E13" s="83"/>
      <c r="F13" s="83">
        <v>934481</v>
      </c>
      <c r="G13" s="147">
        <f t="shared" si="4"/>
        <v>0.14229676605482158</v>
      </c>
      <c r="H13" s="147"/>
      <c r="I13" s="83">
        <v>884146</v>
      </c>
      <c r="J13" s="72">
        <v>66074</v>
      </c>
      <c r="K13" s="147">
        <f t="shared" ref="K13:K15" si="7">J13/D13</f>
        <v>8.0767951965108206E-2</v>
      </c>
    </row>
    <row r="14" spans="1:13" s="33" customFormat="1" ht="18.75" customHeight="1" x14ac:dyDescent="0.25">
      <c r="A14" s="3"/>
      <c r="B14" s="56">
        <f t="shared" si="0"/>
        <v>11</v>
      </c>
      <c r="C14" s="68" t="s">
        <v>992</v>
      </c>
      <c r="D14" s="379">
        <v>2863753</v>
      </c>
      <c r="E14" s="379"/>
      <c r="F14" s="379">
        <v>3368801</v>
      </c>
      <c r="G14" s="521">
        <f t="shared" si="4"/>
        <v>0.17635878513265635</v>
      </c>
      <c r="H14" s="521"/>
      <c r="I14" s="379">
        <v>3155197</v>
      </c>
      <c r="J14" s="379">
        <v>291444</v>
      </c>
      <c r="K14" s="585">
        <f t="shared" si="7"/>
        <v>0.1017699501318724</v>
      </c>
      <c r="L14" s="586"/>
    </row>
    <row r="15" spans="1:13" s="33" customFormat="1" ht="18.75" customHeight="1" x14ac:dyDescent="0.25">
      <c r="A15" s="3"/>
      <c r="B15" s="56">
        <f t="shared" si="0"/>
        <v>12</v>
      </c>
      <c r="C15" s="68" t="s">
        <v>660</v>
      </c>
      <c r="D15" s="117">
        <f t="shared" ref="D15:J15" si="8">SUM(D13:D14)</f>
        <v>3681825</v>
      </c>
      <c r="E15" s="117"/>
      <c r="F15" s="117">
        <f t="shared" si="8"/>
        <v>4303282</v>
      </c>
      <c r="G15" s="583">
        <f t="shared" si="4"/>
        <v>0.16879047754849838</v>
      </c>
      <c r="H15" s="583"/>
      <c r="I15" s="117">
        <f t="shared" si="8"/>
        <v>4039343</v>
      </c>
      <c r="J15" s="117">
        <f t="shared" si="8"/>
        <v>357518</v>
      </c>
      <c r="K15" s="583">
        <f t="shared" si="7"/>
        <v>9.7103474499738579E-2</v>
      </c>
    </row>
    <row r="16" spans="1:13" s="33" customFormat="1" ht="18.75" customHeight="1" x14ac:dyDescent="0.25">
      <c r="A16" s="3"/>
      <c r="B16" s="56">
        <f t="shared" si="0"/>
        <v>13</v>
      </c>
      <c r="C16" s="68" t="s">
        <v>12</v>
      </c>
      <c r="D16" s="581"/>
      <c r="E16" s="581"/>
      <c r="F16" s="581"/>
      <c r="G16" s="337"/>
      <c r="H16" s="337"/>
      <c r="I16" s="581"/>
      <c r="J16" s="581"/>
      <c r="K16" s="582"/>
    </row>
    <row r="17" spans="1:13" s="33" customFormat="1" ht="18.75" customHeight="1" x14ac:dyDescent="0.25">
      <c r="A17" s="3"/>
      <c r="B17" s="56">
        <f t="shared" si="0"/>
        <v>14</v>
      </c>
      <c r="C17" s="68" t="s">
        <v>993</v>
      </c>
      <c r="D17" s="83">
        <v>654010</v>
      </c>
      <c r="E17" s="83"/>
      <c r="F17" s="83">
        <v>698217</v>
      </c>
      <c r="G17" s="147">
        <f t="shared" si="4"/>
        <v>6.7593767679393277E-2</v>
      </c>
      <c r="H17" s="147"/>
      <c r="I17" s="83">
        <v>683191</v>
      </c>
      <c r="J17" s="83">
        <v>29181</v>
      </c>
      <c r="K17" s="147">
        <f t="shared" ref="K17:K19" si="9">J17/D17</f>
        <v>4.4618583813703157E-2</v>
      </c>
    </row>
    <row r="18" spans="1:13" s="33" customFormat="1" ht="18.75" customHeight="1" x14ac:dyDescent="0.25">
      <c r="A18" s="3"/>
      <c r="B18" s="56">
        <f t="shared" si="0"/>
        <v>15</v>
      </c>
      <c r="C18" s="68" t="s">
        <v>994</v>
      </c>
      <c r="D18" s="379">
        <v>1132943</v>
      </c>
      <c r="E18" s="379"/>
      <c r="F18" s="379">
        <v>1243055</v>
      </c>
      <c r="G18" s="521">
        <f t="shared" si="4"/>
        <v>9.719112082426036E-2</v>
      </c>
      <c r="H18" s="521"/>
      <c r="I18" s="379">
        <v>1205566</v>
      </c>
      <c r="J18" s="379">
        <v>72623</v>
      </c>
      <c r="K18" s="521">
        <f t="shared" si="9"/>
        <v>6.4101194852697801E-2</v>
      </c>
    </row>
    <row r="19" spans="1:13" s="33" customFormat="1" ht="18.75" customHeight="1" x14ac:dyDescent="0.25">
      <c r="A19" s="3"/>
      <c r="B19" s="56">
        <f t="shared" si="0"/>
        <v>16</v>
      </c>
      <c r="C19" s="68" t="s">
        <v>660</v>
      </c>
      <c r="D19" s="117">
        <f t="shared" ref="D19:J19" si="10">SUM(D17:D18)</f>
        <v>1786953</v>
      </c>
      <c r="E19" s="117"/>
      <c r="F19" s="117">
        <f t="shared" si="10"/>
        <v>1941272</v>
      </c>
      <c r="G19" s="583">
        <f t="shared" si="4"/>
        <v>8.6358734672932078E-2</v>
      </c>
      <c r="H19" s="583"/>
      <c r="I19" s="117">
        <f t="shared" si="10"/>
        <v>1888757</v>
      </c>
      <c r="J19" s="117">
        <f t="shared" si="10"/>
        <v>101804</v>
      </c>
      <c r="K19" s="583">
        <f t="shared" si="9"/>
        <v>5.6970720550568482E-2</v>
      </c>
      <c r="M19" s="33" t="s">
        <v>12</v>
      </c>
    </row>
    <row r="20" spans="1:13" s="33" customFormat="1" ht="18.75" customHeight="1" x14ac:dyDescent="0.25">
      <c r="A20" s="3"/>
      <c r="B20" s="56">
        <f t="shared" si="0"/>
        <v>17</v>
      </c>
      <c r="C20" s="68" t="s">
        <v>12</v>
      </c>
      <c r="D20" s="581"/>
      <c r="E20" s="581"/>
      <c r="F20" s="581"/>
      <c r="G20" s="337"/>
      <c r="H20" s="337"/>
      <c r="I20" s="581"/>
      <c r="J20" s="581"/>
      <c r="K20" s="582"/>
    </row>
    <row r="21" spans="1:13" s="33" customFormat="1" ht="18.75" customHeight="1" x14ac:dyDescent="0.25">
      <c r="A21" s="3"/>
      <c r="B21" s="56">
        <f t="shared" si="0"/>
        <v>18</v>
      </c>
      <c r="C21" s="68" t="s">
        <v>995</v>
      </c>
      <c r="D21" s="83">
        <v>255368</v>
      </c>
      <c r="E21" s="83"/>
      <c r="F21" s="83">
        <v>258860</v>
      </c>
      <c r="G21" s="147">
        <f t="shared" si="4"/>
        <v>1.3674383634597914E-2</v>
      </c>
      <c r="H21" s="147"/>
      <c r="I21" s="83">
        <v>258860</v>
      </c>
      <c r="J21" s="83">
        <v>3492</v>
      </c>
      <c r="K21" s="147">
        <f t="shared" ref="K21:K23" si="11">J21/D21</f>
        <v>1.3674383634597914E-2</v>
      </c>
    </row>
    <row r="22" spans="1:13" s="33" customFormat="1" ht="18.75" customHeight="1" x14ac:dyDescent="0.25">
      <c r="A22" s="3"/>
      <c r="B22" s="56">
        <f t="shared" si="0"/>
        <v>19</v>
      </c>
      <c r="C22" s="68" t="s">
        <v>996</v>
      </c>
      <c r="D22" s="379">
        <v>1073832</v>
      </c>
      <c r="E22" s="379"/>
      <c r="F22" s="379">
        <v>1073832</v>
      </c>
      <c r="G22" s="521">
        <f t="shared" si="4"/>
        <v>0</v>
      </c>
      <c r="H22" s="521"/>
      <c r="I22" s="379">
        <v>1073832</v>
      </c>
      <c r="J22" s="379">
        <v>0</v>
      </c>
      <c r="K22" s="521">
        <f t="shared" si="11"/>
        <v>0</v>
      </c>
    </row>
    <row r="23" spans="1:13" s="33" customFormat="1" ht="18.75" customHeight="1" x14ac:dyDescent="0.25">
      <c r="A23" s="3"/>
      <c r="B23" s="56">
        <f t="shared" si="0"/>
        <v>20</v>
      </c>
      <c r="C23" s="68" t="s">
        <v>660</v>
      </c>
      <c r="D23" s="117">
        <f t="shared" ref="D23:J23" si="12">SUM(D21:D22)</f>
        <v>1329200</v>
      </c>
      <c r="E23" s="117"/>
      <c r="F23" s="117">
        <f t="shared" si="12"/>
        <v>1332692</v>
      </c>
      <c r="G23" s="583">
        <f t="shared" si="4"/>
        <v>2.6271441468552511E-3</v>
      </c>
      <c r="H23" s="583"/>
      <c r="I23" s="117">
        <f t="shared" si="12"/>
        <v>1332692</v>
      </c>
      <c r="J23" s="117">
        <f t="shared" si="12"/>
        <v>3492</v>
      </c>
      <c r="K23" s="583">
        <f t="shared" si="11"/>
        <v>2.6271441468552511E-3</v>
      </c>
      <c r="M23" s="33" t="s">
        <v>12</v>
      </c>
    </row>
    <row r="24" spans="1:13" s="33" customFormat="1" ht="18.75" customHeight="1" x14ac:dyDescent="0.25">
      <c r="A24" s="3"/>
      <c r="B24" s="56">
        <f t="shared" si="0"/>
        <v>21</v>
      </c>
      <c r="C24" s="68"/>
      <c r="D24" s="581"/>
      <c r="E24" s="581"/>
      <c r="F24" s="581"/>
      <c r="G24" s="337"/>
      <c r="H24" s="337"/>
      <c r="I24" s="527"/>
      <c r="J24" s="581"/>
      <c r="K24" s="582"/>
      <c r="M24" s="33" t="s">
        <v>12</v>
      </c>
    </row>
    <row r="25" spans="1:13" s="33" customFormat="1" ht="18.75" customHeight="1" x14ac:dyDescent="0.25">
      <c r="A25" s="3"/>
      <c r="B25" s="56">
        <f t="shared" si="0"/>
        <v>22</v>
      </c>
      <c r="C25" s="68" t="s">
        <v>997</v>
      </c>
      <c r="D25" s="378">
        <f>D7+D11+D15+D19+D23</f>
        <v>46252960</v>
      </c>
      <c r="E25" s="83"/>
      <c r="F25" s="83">
        <f>F7+F11+F15+F19+F23</f>
        <v>52644591</v>
      </c>
      <c r="G25" s="147">
        <f t="shared" si="4"/>
        <v>0.13818858295771774</v>
      </c>
      <c r="H25" s="587"/>
      <c r="I25" s="378">
        <f>I7+I11+I15+I19+I23</f>
        <v>49610926</v>
      </c>
      <c r="J25" s="378">
        <f>J7+J11+J15+J19+J23</f>
        <v>3357966</v>
      </c>
      <c r="K25" s="147">
        <f t="shared" ref="K25:K27" si="13">J25/D25</f>
        <v>7.2600023868742675E-2</v>
      </c>
    </row>
    <row r="26" spans="1:13" s="33" customFormat="1" ht="18.75" customHeight="1" x14ac:dyDescent="0.25">
      <c r="A26" s="3"/>
      <c r="B26" s="56">
        <f>+B25+1</f>
        <v>23</v>
      </c>
      <c r="C26" s="68" t="s">
        <v>998</v>
      </c>
      <c r="D26" s="379">
        <v>745712</v>
      </c>
      <c r="E26" s="379"/>
      <c r="F26" s="379">
        <v>749073</v>
      </c>
      <c r="G26" s="521">
        <f t="shared" si="4"/>
        <v>4.507101937477203E-3</v>
      </c>
      <c r="H26" s="521"/>
      <c r="I26" s="527">
        <v>749073</v>
      </c>
      <c r="J26" s="379">
        <v>3361</v>
      </c>
      <c r="K26" s="521">
        <f t="shared" si="13"/>
        <v>4.507101937477203E-3</v>
      </c>
    </row>
    <row r="27" spans="1:13" s="33" customFormat="1" ht="18.75" customHeight="1" x14ac:dyDescent="0.25">
      <c r="A27" s="3"/>
      <c r="B27" s="56">
        <f t="shared" si="0"/>
        <v>24</v>
      </c>
      <c r="C27" s="68" t="s">
        <v>660</v>
      </c>
      <c r="D27" s="588">
        <f t="shared" ref="D27:J27" si="14">SUM(D25:D26)</f>
        <v>46998672</v>
      </c>
      <c r="E27" s="117"/>
      <c r="F27" s="117">
        <f t="shared" si="14"/>
        <v>53393664</v>
      </c>
      <c r="G27" s="583">
        <f t="shared" si="4"/>
        <v>0.1360675042052252</v>
      </c>
      <c r="H27" s="583"/>
      <c r="I27" s="589">
        <f t="shared" si="14"/>
        <v>50359999</v>
      </c>
      <c r="J27" s="589">
        <f t="shared" si="14"/>
        <v>3361327</v>
      </c>
      <c r="K27" s="583">
        <f t="shared" si="13"/>
        <v>7.1519616554271997E-2</v>
      </c>
    </row>
    <row r="28" spans="1:13" x14ac:dyDescent="0.25">
      <c r="A28" s="3"/>
    </row>
    <row r="29" spans="1:13" x14ac:dyDescent="0.25">
      <c r="A29" s="3"/>
      <c r="B29" s="100" t="s">
        <v>999</v>
      </c>
      <c r="I29" s="5" t="s">
        <v>12</v>
      </c>
    </row>
    <row r="30" spans="1:13" x14ac:dyDescent="0.25">
      <c r="A30" s="3"/>
      <c r="B30" s="100" t="s">
        <v>1000</v>
      </c>
    </row>
    <row r="31" spans="1:13" x14ac:dyDescent="0.25">
      <c r="A31" s="3"/>
      <c r="E31" s="5"/>
      <c r="G31" s="5"/>
      <c r="H31" s="5"/>
      <c r="K31" s="5"/>
    </row>
    <row r="32" spans="1:13" x14ac:dyDescent="0.25">
      <c r="A32" s="3"/>
    </row>
    <row r="33" spans="1:1" x14ac:dyDescent="0.25">
      <c r="A33" s="3"/>
    </row>
    <row r="50" spans="1:1" x14ac:dyDescent="0.25">
      <c r="A50" s="3"/>
    </row>
    <row r="51" spans="1:1" x14ac:dyDescent="0.25">
      <c r="A51" s="3"/>
    </row>
    <row r="52" spans="1:1" x14ac:dyDescent="0.25">
      <c r="A52" s="3"/>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sheetData>
  <mergeCells count="2">
    <mergeCell ref="F3:G3"/>
    <mergeCell ref="I3:K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2F2F2"/>
  </sheetPr>
  <dimension ref="B1:H84"/>
  <sheetViews>
    <sheetView showGridLines="0" zoomScale="125" zoomScaleNormal="125" zoomScalePageLayoutView="125" workbookViewId="0"/>
  </sheetViews>
  <sheetFormatPr defaultColWidth="8.85546875" defaultRowHeight="14.1" customHeight="1" x14ac:dyDescent="0.25"/>
  <cols>
    <col min="1" max="1" width="2.7109375" style="4" customWidth="1"/>
    <col min="2" max="2" width="6.7109375" style="49" customWidth="1"/>
    <col min="3" max="3" width="33" style="4" customWidth="1"/>
    <col min="4" max="6" width="12.7109375" style="4" customWidth="1"/>
    <col min="7" max="8" width="13.140625" style="4" hidden="1" customWidth="1"/>
    <col min="9" max="16384" width="8.85546875" style="4"/>
  </cols>
  <sheetData>
    <row r="1" spans="2:8" s="9" customFormat="1" ht="9.75" customHeight="1" x14ac:dyDescent="0.25">
      <c r="B1" s="80"/>
    </row>
    <row r="2" spans="2:8" s="20" customFormat="1" ht="37.5" customHeight="1" x14ac:dyDescent="0.25">
      <c r="B2" s="50" t="s">
        <v>1001</v>
      </c>
    </row>
    <row r="3" spans="2:8" s="3" customFormat="1" ht="18.75" customHeight="1" x14ac:dyDescent="0.25">
      <c r="B3" s="256" t="s">
        <v>13</v>
      </c>
      <c r="C3" s="323" t="s">
        <v>1002</v>
      </c>
      <c r="D3" s="323">
        <v>2014</v>
      </c>
      <c r="E3" s="323" t="s">
        <v>1003</v>
      </c>
      <c r="F3" s="323" t="s">
        <v>1004</v>
      </c>
      <c r="G3" s="324"/>
      <c r="H3" s="324"/>
    </row>
    <row r="4" spans="2:8" s="3" customFormat="1" ht="18.75" customHeight="1" x14ac:dyDescent="0.25">
      <c r="B4" s="51">
        <v>1</v>
      </c>
      <c r="C4" s="21">
        <v>0.625</v>
      </c>
      <c r="D4" s="22">
        <v>16</v>
      </c>
      <c r="E4" s="22">
        <v>18.5</v>
      </c>
      <c r="F4" s="31">
        <v>16.25</v>
      </c>
      <c r="G4" s="23"/>
      <c r="H4" s="23"/>
    </row>
    <row r="5" spans="2:8" s="3" customFormat="1" ht="18.75" customHeight="1" x14ac:dyDescent="0.25">
      <c r="B5" s="51">
        <f t="shared" ref="B5:B78" si="0">+B4+1</f>
        <v>2</v>
      </c>
      <c r="C5" s="21">
        <v>0.75</v>
      </c>
      <c r="D5" s="22">
        <v>22</v>
      </c>
      <c r="E5" s="22">
        <v>25.4</v>
      </c>
      <c r="F5" s="31">
        <v>22.3</v>
      </c>
      <c r="G5" s="23"/>
      <c r="H5" s="23"/>
    </row>
    <row r="6" spans="2:8" s="3" customFormat="1" ht="18.75" customHeight="1" x14ac:dyDescent="0.25">
      <c r="B6" s="51">
        <f t="shared" si="0"/>
        <v>3</v>
      </c>
      <c r="C6" s="24">
        <v>1</v>
      </c>
      <c r="D6" s="22">
        <v>31</v>
      </c>
      <c r="E6" s="22">
        <v>35.799999999999997</v>
      </c>
      <c r="F6" s="31">
        <v>31.5</v>
      </c>
      <c r="G6" s="23"/>
      <c r="H6" s="23"/>
    </row>
    <row r="7" spans="2:8" s="3" customFormat="1" ht="18.75" customHeight="1" x14ac:dyDescent="0.25">
      <c r="B7" s="51">
        <f t="shared" si="0"/>
        <v>4</v>
      </c>
      <c r="C7" s="24">
        <v>1.5</v>
      </c>
      <c r="D7" s="22">
        <v>47.8</v>
      </c>
      <c r="E7" s="22">
        <v>55.3</v>
      </c>
      <c r="F7" s="31">
        <v>48.5</v>
      </c>
      <c r="G7" s="23"/>
      <c r="H7" s="23"/>
    </row>
    <row r="8" spans="2:8" s="3" customFormat="1" ht="18.75" customHeight="1" x14ac:dyDescent="0.25">
      <c r="B8" s="51">
        <f t="shared" si="0"/>
        <v>5</v>
      </c>
      <c r="C8" s="24">
        <v>2</v>
      </c>
      <c r="D8" s="22">
        <v>62</v>
      </c>
      <c r="E8" s="22">
        <v>71.7</v>
      </c>
      <c r="F8" s="31">
        <v>63</v>
      </c>
      <c r="G8" s="23"/>
      <c r="H8" s="23"/>
    </row>
    <row r="9" spans="2:8" s="3" customFormat="1" ht="18.75" customHeight="1" x14ac:dyDescent="0.25">
      <c r="B9" s="51">
        <f t="shared" si="0"/>
        <v>6</v>
      </c>
      <c r="C9" s="24">
        <v>3</v>
      </c>
      <c r="D9" s="22">
        <v>149.5</v>
      </c>
      <c r="E9" s="22">
        <v>172.9</v>
      </c>
      <c r="F9" s="31">
        <v>151.80000000000001</v>
      </c>
      <c r="G9" s="23"/>
      <c r="H9" s="23"/>
    </row>
    <row r="10" spans="2:8" s="3" customFormat="1" ht="18.75" customHeight="1" x14ac:dyDescent="0.25">
      <c r="B10" s="51">
        <f t="shared" si="0"/>
        <v>7</v>
      </c>
      <c r="C10" s="24">
        <v>4</v>
      </c>
      <c r="D10" s="22">
        <v>222.4</v>
      </c>
      <c r="E10" s="22">
        <v>257.2</v>
      </c>
      <c r="F10" s="31">
        <v>225.9</v>
      </c>
      <c r="G10" s="23"/>
      <c r="H10" s="23"/>
    </row>
    <row r="11" spans="2:8" s="3" customFormat="1" ht="18.75" customHeight="1" x14ac:dyDescent="0.25">
      <c r="B11" s="51">
        <f t="shared" si="0"/>
        <v>8</v>
      </c>
      <c r="C11" s="24">
        <v>6</v>
      </c>
      <c r="D11" s="22">
        <v>247</v>
      </c>
      <c r="E11" s="22">
        <v>285.60000000000002</v>
      </c>
      <c r="F11" s="31">
        <v>250.9</v>
      </c>
      <c r="G11" s="23"/>
      <c r="H11" s="23"/>
    </row>
    <row r="12" spans="2:8" s="3" customFormat="1" ht="18.75" customHeight="1" x14ac:dyDescent="0.25">
      <c r="B12" s="51">
        <f t="shared" si="0"/>
        <v>9</v>
      </c>
      <c r="C12" s="24">
        <v>8</v>
      </c>
      <c r="D12" s="22">
        <v>474</v>
      </c>
      <c r="E12" s="22">
        <v>548.1</v>
      </c>
      <c r="F12" s="31">
        <v>481.4</v>
      </c>
      <c r="G12" s="23"/>
      <c r="H12" s="23"/>
    </row>
    <row r="13" spans="2:8" s="3" customFormat="1" ht="18.75" customHeight="1" x14ac:dyDescent="0.25">
      <c r="B13" s="51">
        <f t="shared" si="0"/>
        <v>10</v>
      </c>
      <c r="C13" s="24">
        <v>10</v>
      </c>
      <c r="D13" s="22">
        <v>610</v>
      </c>
      <c r="E13" s="22">
        <v>705.3</v>
      </c>
      <c r="F13" s="31">
        <v>619.5</v>
      </c>
      <c r="G13" s="23"/>
      <c r="H13" s="23"/>
    </row>
    <row r="14" spans="2:8" s="3" customFormat="1" ht="18.75" customHeight="1" x14ac:dyDescent="0.25">
      <c r="B14" s="51">
        <f t="shared" si="0"/>
        <v>11</v>
      </c>
      <c r="C14" s="24">
        <v>12</v>
      </c>
      <c r="D14" s="22">
        <v>751</v>
      </c>
      <c r="E14" s="22">
        <v>868.3</v>
      </c>
      <c r="F14" s="31">
        <v>762.7</v>
      </c>
      <c r="G14" s="23"/>
      <c r="H14" s="23"/>
    </row>
    <row r="15" spans="2:8" s="3" customFormat="1" ht="18.75" customHeight="1" x14ac:dyDescent="0.25">
      <c r="B15" s="51">
        <f t="shared" si="0"/>
        <v>12</v>
      </c>
      <c r="C15" s="23"/>
      <c r="D15" s="23"/>
      <c r="E15" s="23"/>
      <c r="F15" s="23"/>
      <c r="G15" s="23"/>
      <c r="H15" s="23"/>
    </row>
    <row r="16" spans="2:8" s="3" customFormat="1" ht="18.75" customHeight="1" x14ac:dyDescent="0.25">
      <c r="B16" s="51">
        <f t="shared" si="0"/>
        <v>13</v>
      </c>
      <c r="C16" s="52" t="s">
        <v>1005</v>
      </c>
      <c r="D16" s="23"/>
      <c r="E16" s="23"/>
      <c r="F16" s="23"/>
      <c r="G16" s="23"/>
      <c r="H16" s="23"/>
    </row>
    <row r="17" spans="2:8" s="3" customFormat="1" ht="18.75" customHeight="1" x14ac:dyDescent="0.25">
      <c r="B17" s="256">
        <f t="shared" si="0"/>
        <v>14</v>
      </c>
      <c r="C17" s="323" t="s">
        <v>1006</v>
      </c>
      <c r="D17" s="323" t="s">
        <v>470</v>
      </c>
      <c r="E17" s="323" t="s">
        <v>471</v>
      </c>
      <c r="F17" s="323" t="s">
        <v>472</v>
      </c>
      <c r="G17" s="324"/>
      <c r="H17" s="324"/>
    </row>
    <row r="18" spans="2:8" s="3" customFormat="1" ht="18.75" customHeight="1" x14ac:dyDescent="0.25">
      <c r="B18" s="51">
        <f t="shared" si="0"/>
        <v>15</v>
      </c>
      <c r="C18" s="23" t="s">
        <v>1007</v>
      </c>
      <c r="D18" s="22">
        <v>4.4349999999999996</v>
      </c>
      <c r="E18" s="22">
        <v>4.1109999999999998</v>
      </c>
      <c r="F18" s="22">
        <v>4.1109999999999998</v>
      </c>
      <c r="G18" s="23"/>
      <c r="H18" s="23"/>
    </row>
    <row r="19" spans="2:8" s="3" customFormat="1" ht="18.75" customHeight="1" x14ac:dyDescent="0.25">
      <c r="B19" s="51">
        <f t="shared" si="0"/>
        <v>16</v>
      </c>
      <c r="C19" s="23" t="s">
        <v>1008</v>
      </c>
      <c r="D19" s="22">
        <v>4.4349999999999996</v>
      </c>
      <c r="E19" s="22">
        <v>2.944</v>
      </c>
      <c r="F19" s="22">
        <v>2.944</v>
      </c>
      <c r="G19" s="23"/>
      <c r="H19" s="23"/>
    </row>
    <row r="20" spans="2:8" s="3" customFormat="1" ht="18.75" customHeight="1" x14ac:dyDescent="0.25">
      <c r="B20" s="51">
        <f t="shared" si="0"/>
        <v>17</v>
      </c>
      <c r="C20" s="23" t="s">
        <v>1009</v>
      </c>
      <c r="D20" s="22">
        <v>4.4349999999999996</v>
      </c>
      <c r="E20" s="22">
        <v>2.294</v>
      </c>
      <c r="F20" s="22">
        <v>2.5880000000000001</v>
      </c>
      <c r="G20" s="23"/>
      <c r="H20" s="23"/>
    </row>
    <row r="21" spans="2:8" s="3" customFormat="1" ht="18.75" customHeight="1" x14ac:dyDescent="0.25">
      <c r="B21" s="51">
        <f t="shared" si="0"/>
        <v>18</v>
      </c>
      <c r="C21" s="23" t="s">
        <v>1010</v>
      </c>
      <c r="D21" s="22">
        <v>4.4349999999999996</v>
      </c>
      <c r="E21" s="22">
        <v>2.294</v>
      </c>
      <c r="F21" s="22">
        <v>2.2280000000000002</v>
      </c>
      <c r="G21" s="23"/>
      <c r="H21" s="23"/>
    </row>
    <row r="22" spans="2:8" s="3" customFormat="1" ht="18.75" customHeight="1" x14ac:dyDescent="0.25">
      <c r="B22" s="51">
        <f t="shared" si="0"/>
        <v>19</v>
      </c>
      <c r="C22" s="26"/>
      <c r="D22" s="23"/>
      <c r="E22" s="23"/>
      <c r="F22" s="23"/>
      <c r="G22" s="23"/>
      <c r="H22" s="23"/>
    </row>
    <row r="23" spans="2:8" s="3" customFormat="1" ht="18.75" customHeight="1" x14ac:dyDescent="0.25">
      <c r="B23" s="256">
        <f t="shared" si="0"/>
        <v>20</v>
      </c>
      <c r="C23" s="323" t="s">
        <v>1011</v>
      </c>
      <c r="D23" s="323" t="s">
        <v>470</v>
      </c>
      <c r="E23" s="323" t="s">
        <v>471</v>
      </c>
      <c r="F23" s="323" t="s">
        <v>472</v>
      </c>
      <c r="G23" s="324"/>
      <c r="H23" s="324"/>
    </row>
    <row r="24" spans="2:8" s="3" customFormat="1" ht="18.75" customHeight="1" x14ac:dyDescent="0.25">
      <c r="B24" s="51">
        <f t="shared" si="0"/>
        <v>21</v>
      </c>
      <c r="C24" s="23" t="s">
        <v>1007</v>
      </c>
      <c r="D24" s="22">
        <v>5.0910000000000002</v>
      </c>
      <c r="E24" s="22">
        <v>4.6429999999999998</v>
      </c>
      <c r="F24" s="22">
        <v>4.6429999999999998</v>
      </c>
      <c r="G24" s="23"/>
      <c r="H24" s="23"/>
    </row>
    <row r="25" spans="2:8" s="3" customFormat="1" ht="18.75" customHeight="1" x14ac:dyDescent="0.25">
      <c r="B25" s="51">
        <f t="shared" si="0"/>
        <v>22</v>
      </c>
      <c r="C25" s="23" t="s">
        <v>1008</v>
      </c>
      <c r="D25" s="22">
        <v>5.0910000000000002</v>
      </c>
      <c r="E25" s="22">
        <v>3.3250000000000002</v>
      </c>
      <c r="F25" s="22">
        <v>3.3250000000000002</v>
      </c>
      <c r="G25" s="23"/>
      <c r="H25" s="23"/>
    </row>
    <row r="26" spans="2:8" s="3" customFormat="1" ht="18.75" customHeight="1" x14ac:dyDescent="0.25">
      <c r="B26" s="51">
        <f t="shared" si="0"/>
        <v>23</v>
      </c>
      <c r="C26" s="23" t="s">
        <v>1009</v>
      </c>
      <c r="D26" s="22">
        <v>5.0910000000000002</v>
      </c>
      <c r="E26" s="22">
        <v>2.5910000000000002</v>
      </c>
      <c r="F26" s="22">
        <v>2.95</v>
      </c>
      <c r="G26" s="23"/>
      <c r="H26" s="23"/>
    </row>
    <row r="27" spans="2:8" s="3" customFormat="1" ht="18.75" customHeight="1" x14ac:dyDescent="0.25">
      <c r="B27" s="51">
        <f t="shared" si="0"/>
        <v>24</v>
      </c>
      <c r="C27" s="23" t="s">
        <v>1010</v>
      </c>
      <c r="D27" s="22">
        <v>5.0910000000000002</v>
      </c>
      <c r="E27" s="22">
        <v>2.5910000000000002</v>
      </c>
      <c r="F27" s="22">
        <v>2.5299999999999998</v>
      </c>
      <c r="G27" s="23"/>
      <c r="H27" s="23"/>
    </row>
    <row r="28" spans="2:8" s="3" customFormat="1" ht="18.75" customHeight="1" x14ac:dyDescent="0.25">
      <c r="B28" s="51">
        <f t="shared" si="0"/>
        <v>25</v>
      </c>
      <c r="C28" s="23"/>
      <c r="D28" s="23"/>
      <c r="E28" s="23"/>
      <c r="F28" s="23"/>
      <c r="G28" s="23"/>
      <c r="H28" s="23"/>
    </row>
    <row r="29" spans="2:8" s="3" customFormat="1" ht="18.75" customHeight="1" x14ac:dyDescent="0.25">
      <c r="B29" s="256">
        <f t="shared" si="0"/>
        <v>26</v>
      </c>
      <c r="C29" s="323" t="s">
        <v>1012</v>
      </c>
      <c r="D29" s="323" t="s">
        <v>470</v>
      </c>
      <c r="E29" s="323" t="s">
        <v>471</v>
      </c>
      <c r="F29" s="323" t="s">
        <v>472</v>
      </c>
      <c r="G29" s="324"/>
      <c r="H29" s="324"/>
    </row>
    <row r="30" spans="2:8" s="3" customFormat="1" ht="18.75" customHeight="1" x14ac:dyDescent="0.25">
      <c r="B30" s="51">
        <f t="shared" si="0"/>
        <v>27</v>
      </c>
      <c r="C30" s="23" t="s">
        <v>1007</v>
      </c>
      <c r="D30" s="31">
        <v>5.0119999999999996</v>
      </c>
      <c r="E30" s="31">
        <v>4.5540000000000003</v>
      </c>
      <c r="F30" s="31">
        <v>4.5540000000000003</v>
      </c>
      <c r="G30" s="23"/>
      <c r="H30" s="23"/>
    </row>
    <row r="31" spans="2:8" s="3" customFormat="1" ht="18.75" customHeight="1" x14ac:dyDescent="0.25">
      <c r="B31" s="51">
        <f t="shared" si="0"/>
        <v>28</v>
      </c>
      <c r="C31" s="23" t="s">
        <v>1008</v>
      </c>
      <c r="D31" s="31">
        <v>5.0119999999999996</v>
      </c>
      <c r="E31" s="31">
        <v>3.2610000000000001</v>
      </c>
      <c r="F31" s="31">
        <v>3.2610000000000001</v>
      </c>
      <c r="G31" s="23"/>
      <c r="H31" s="23"/>
    </row>
    <row r="32" spans="2:8" s="3" customFormat="1" ht="18.75" customHeight="1" x14ac:dyDescent="0.25">
      <c r="B32" s="51">
        <f t="shared" si="0"/>
        <v>29</v>
      </c>
      <c r="C32" s="23" t="s">
        <v>1009</v>
      </c>
      <c r="D32" s="31">
        <v>5.0119999999999996</v>
      </c>
      <c r="E32" s="31">
        <v>2.5409999999999999</v>
      </c>
      <c r="F32" s="31">
        <v>2.831</v>
      </c>
      <c r="G32" s="23"/>
      <c r="H32" s="23"/>
    </row>
    <row r="33" spans="2:8" s="3" customFormat="1" ht="18.75" customHeight="1" x14ac:dyDescent="0.25">
      <c r="B33" s="51">
        <f t="shared" si="0"/>
        <v>30</v>
      </c>
      <c r="C33" s="23" t="s">
        <v>1010</v>
      </c>
      <c r="D33" s="31">
        <v>5.0119999999999996</v>
      </c>
      <c r="E33" s="31">
        <v>2.5409999999999999</v>
      </c>
      <c r="F33" s="31">
        <v>2.4369999999999998</v>
      </c>
      <c r="G33" s="23"/>
      <c r="H33" s="23"/>
    </row>
    <row r="34" spans="2:8" s="3" customFormat="1" ht="18.75" customHeight="1" x14ac:dyDescent="0.25">
      <c r="B34" s="51">
        <f t="shared" si="0"/>
        <v>31</v>
      </c>
      <c r="C34" s="23"/>
      <c r="D34" s="23"/>
      <c r="E34" s="23"/>
      <c r="F34" s="23"/>
      <c r="G34" s="23"/>
      <c r="H34" s="23"/>
    </row>
    <row r="35" spans="2:8" s="3" customFormat="1" ht="18.75" customHeight="1" x14ac:dyDescent="0.25">
      <c r="B35" s="51">
        <f t="shared" si="0"/>
        <v>32</v>
      </c>
      <c r="C35" s="52" t="s">
        <v>1013</v>
      </c>
      <c r="D35" s="23"/>
      <c r="E35" s="23"/>
      <c r="F35" s="23"/>
      <c r="G35" s="23"/>
      <c r="H35" s="23"/>
    </row>
    <row r="36" spans="2:8" s="3" customFormat="1" ht="18.75" customHeight="1" x14ac:dyDescent="0.25">
      <c r="B36" s="256">
        <f t="shared" si="0"/>
        <v>33</v>
      </c>
      <c r="C36" s="325" t="s">
        <v>1006</v>
      </c>
      <c r="D36" s="323" t="s">
        <v>470</v>
      </c>
      <c r="E36" s="323" t="s">
        <v>471</v>
      </c>
      <c r="F36" s="323" t="s">
        <v>472</v>
      </c>
      <c r="G36" s="324"/>
      <c r="H36" s="324"/>
    </row>
    <row r="37" spans="2:8" s="3" customFormat="1" ht="18.75" customHeight="1" x14ac:dyDescent="0.25">
      <c r="B37" s="51">
        <f t="shared" si="0"/>
        <v>34</v>
      </c>
      <c r="C37" s="27" t="s">
        <v>1007</v>
      </c>
      <c r="D37" s="22">
        <v>7.3209999999999997</v>
      </c>
      <c r="E37" s="22">
        <v>6.8280000000000003</v>
      </c>
      <c r="F37" s="22">
        <v>6.8280000000000003</v>
      </c>
      <c r="G37" s="23"/>
      <c r="H37" s="23"/>
    </row>
    <row r="38" spans="2:8" s="3" customFormat="1" ht="18.75" customHeight="1" x14ac:dyDescent="0.25">
      <c r="B38" s="51">
        <f t="shared" si="0"/>
        <v>35</v>
      </c>
      <c r="C38" s="27" t="s">
        <v>1008</v>
      </c>
      <c r="D38" s="22">
        <v>7.3209999999999997</v>
      </c>
      <c r="E38" s="22">
        <v>5.8010000000000002</v>
      </c>
      <c r="F38" s="22">
        <v>5.8010000000000002</v>
      </c>
      <c r="G38" s="23"/>
      <c r="H38" s="23"/>
    </row>
    <row r="39" spans="2:8" s="3" customFormat="1" ht="18.75" customHeight="1" x14ac:dyDescent="0.25">
      <c r="B39" s="51">
        <f t="shared" si="0"/>
        <v>36</v>
      </c>
      <c r="C39" s="27" t="s">
        <v>1009</v>
      </c>
      <c r="D39" s="22">
        <v>7.3209999999999997</v>
      </c>
      <c r="E39" s="22">
        <v>3.1240000000000001</v>
      </c>
      <c r="F39" s="22">
        <v>5.2569999999999997</v>
      </c>
      <c r="G39" s="23"/>
      <c r="H39" s="23"/>
    </row>
    <row r="40" spans="2:8" s="3" customFormat="1" ht="18.75" customHeight="1" x14ac:dyDescent="0.25">
      <c r="B40" s="51">
        <f t="shared" si="0"/>
        <v>37</v>
      </c>
      <c r="C40" s="27" t="s">
        <v>1010</v>
      </c>
      <c r="D40" s="22">
        <v>7.3209999999999997</v>
      </c>
      <c r="E40" s="22">
        <v>3.1240000000000001</v>
      </c>
      <c r="F40" s="22">
        <v>3.226</v>
      </c>
      <c r="G40" s="23"/>
      <c r="H40" s="23"/>
    </row>
    <row r="41" spans="2:8" s="3" customFormat="1" ht="18.75" customHeight="1" x14ac:dyDescent="0.25">
      <c r="B41" s="51">
        <f t="shared" si="0"/>
        <v>38</v>
      </c>
      <c r="C41" s="28"/>
      <c r="D41" s="27"/>
      <c r="E41" s="27"/>
      <c r="F41" s="27"/>
      <c r="G41" s="23"/>
      <c r="H41" s="23"/>
    </row>
    <row r="42" spans="2:8" s="3" customFormat="1" ht="18.75" customHeight="1" x14ac:dyDescent="0.25">
      <c r="B42" s="256">
        <f t="shared" si="0"/>
        <v>39</v>
      </c>
      <c r="C42" s="325" t="s">
        <v>1014</v>
      </c>
      <c r="D42" s="323" t="s">
        <v>470</v>
      </c>
      <c r="E42" s="323" t="s">
        <v>471</v>
      </c>
      <c r="F42" s="323" t="s">
        <v>472</v>
      </c>
      <c r="G42" s="324"/>
      <c r="H42" s="324"/>
    </row>
    <row r="43" spans="2:8" s="3" customFormat="1" ht="18.75" customHeight="1" x14ac:dyDescent="0.25">
      <c r="B43" s="51">
        <f t="shared" si="0"/>
        <v>40</v>
      </c>
      <c r="C43" s="27" t="s">
        <v>1007</v>
      </c>
      <c r="D43" s="22">
        <v>8.3000000000000007</v>
      </c>
      <c r="E43" s="22">
        <v>7.6740000000000004</v>
      </c>
      <c r="F43" s="22">
        <v>7.6740000000000004</v>
      </c>
      <c r="G43" s="23"/>
      <c r="H43" s="23"/>
    </row>
    <row r="44" spans="2:8" s="3" customFormat="1" ht="18.75" customHeight="1" x14ac:dyDescent="0.25">
      <c r="B44" s="51">
        <f t="shared" si="0"/>
        <v>41</v>
      </c>
      <c r="C44" s="27" t="s">
        <v>1008</v>
      </c>
      <c r="D44" s="22">
        <v>8.3000000000000007</v>
      </c>
      <c r="E44" s="22">
        <v>6.52</v>
      </c>
      <c r="F44" s="22">
        <v>6.52</v>
      </c>
      <c r="G44" s="23"/>
      <c r="H44" s="23"/>
    </row>
    <row r="45" spans="2:8" s="3" customFormat="1" ht="18.75" customHeight="1" x14ac:dyDescent="0.25">
      <c r="B45" s="51">
        <f t="shared" si="0"/>
        <v>42</v>
      </c>
      <c r="C45" s="27" t="s">
        <v>1009</v>
      </c>
      <c r="D45" s="22">
        <v>8.3000000000000007</v>
      </c>
      <c r="E45" s="22">
        <v>3.5110000000000001</v>
      </c>
      <c r="F45" s="22">
        <v>6.2169999999999996</v>
      </c>
      <c r="G45" s="23"/>
      <c r="H45" s="23"/>
    </row>
    <row r="46" spans="2:8" s="3" customFormat="1" ht="18.75" customHeight="1" x14ac:dyDescent="0.25">
      <c r="B46" s="51">
        <f t="shared" si="0"/>
        <v>43</v>
      </c>
      <c r="C46" s="27" t="s">
        <v>1010</v>
      </c>
      <c r="D46" s="22">
        <v>8.3000000000000007</v>
      </c>
      <c r="E46" s="22">
        <v>3.5110000000000001</v>
      </c>
      <c r="F46" s="22">
        <v>3.8149999999999999</v>
      </c>
      <c r="G46" s="23"/>
      <c r="H46" s="23"/>
    </row>
    <row r="47" spans="2:8" s="3" customFormat="1" ht="18.75" customHeight="1" x14ac:dyDescent="0.25">
      <c r="B47" s="51">
        <f t="shared" si="0"/>
        <v>44</v>
      </c>
      <c r="C47" s="27"/>
      <c r="D47" s="22"/>
      <c r="E47" s="22"/>
      <c r="F47" s="22"/>
      <c r="G47" s="23"/>
      <c r="H47" s="23"/>
    </row>
    <row r="48" spans="2:8" s="3" customFormat="1" ht="18.75" customHeight="1" x14ac:dyDescent="0.25">
      <c r="B48" s="256">
        <f t="shared" si="0"/>
        <v>45</v>
      </c>
      <c r="C48" s="325" t="s">
        <v>1012</v>
      </c>
      <c r="D48" s="323" t="s">
        <v>470</v>
      </c>
      <c r="E48" s="323" t="s">
        <v>471</v>
      </c>
      <c r="F48" s="323" t="s">
        <v>472</v>
      </c>
      <c r="G48" s="324"/>
      <c r="H48" s="324"/>
    </row>
    <row r="49" spans="2:8" s="3" customFormat="1" ht="18.75" customHeight="1" x14ac:dyDescent="0.25">
      <c r="B49" s="51">
        <f t="shared" si="0"/>
        <v>46</v>
      </c>
      <c r="C49" s="27" t="s">
        <v>1007</v>
      </c>
      <c r="D49" s="22">
        <v>8.1110000000000007</v>
      </c>
      <c r="E49" s="22">
        <v>7.4009999999999998</v>
      </c>
      <c r="F49" s="22">
        <v>7.4009999999999998</v>
      </c>
      <c r="G49" s="23"/>
      <c r="H49" s="23"/>
    </row>
    <row r="50" spans="2:8" s="3" customFormat="1" ht="18.75" customHeight="1" x14ac:dyDescent="0.25">
      <c r="B50" s="51">
        <f t="shared" si="0"/>
        <v>47</v>
      </c>
      <c r="C50" s="27" t="s">
        <v>1008</v>
      </c>
      <c r="D50" s="22">
        <v>8.1110000000000007</v>
      </c>
      <c r="E50" s="22">
        <v>6.2880000000000003</v>
      </c>
      <c r="F50" s="22">
        <v>6.2880000000000003</v>
      </c>
      <c r="G50" s="23"/>
      <c r="H50" s="23"/>
    </row>
    <row r="51" spans="2:8" s="3" customFormat="1" ht="18.75" customHeight="1" x14ac:dyDescent="0.25">
      <c r="B51" s="51">
        <f t="shared" si="0"/>
        <v>48</v>
      </c>
      <c r="C51" s="27" t="s">
        <v>1009</v>
      </c>
      <c r="D51" s="22">
        <v>8.1110000000000007</v>
      </c>
      <c r="E51" s="22">
        <v>3.3860000000000001</v>
      </c>
      <c r="F51" s="22">
        <v>5.8239999999999998</v>
      </c>
      <c r="G51" s="23"/>
      <c r="H51" s="23"/>
    </row>
    <row r="52" spans="2:8" s="3" customFormat="1" ht="18.75" customHeight="1" x14ac:dyDescent="0.25">
      <c r="B52" s="51">
        <f t="shared" si="0"/>
        <v>49</v>
      </c>
      <c r="C52" s="27" t="s">
        <v>1010</v>
      </c>
      <c r="D52" s="22">
        <v>8.1110000000000007</v>
      </c>
      <c r="E52" s="22">
        <v>3.3860000000000001</v>
      </c>
      <c r="F52" s="31">
        <v>3.5739999999999998</v>
      </c>
      <c r="G52" s="23"/>
      <c r="H52" s="23"/>
    </row>
    <row r="53" spans="2:8" s="3" customFormat="1" ht="18.75" customHeight="1" x14ac:dyDescent="0.25">
      <c r="B53" s="51">
        <f t="shared" si="0"/>
        <v>50</v>
      </c>
      <c r="C53" s="27"/>
      <c r="D53" s="23"/>
      <c r="E53" s="23"/>
      <c r="F53" s="23"/>
      <c r="G53" s="23"/>
      <c r="H53" s="23"/>
    </row>
    <row r="54" spans="2:8" s="3" customFormat="1" ht="18.75" customHeight="1" x14ac:dyDescent="0.25">
      <c r="B54" s="256">
        <f t="shared" si="0"/>
        <v>51</v>
      </c>
      <c r="C54" s="323" t="s">
        <v>1015</v>
      </c>
      <c r="D54" s="323" t="s">
        <v>1016</v>
      </c>
      <c r="E54" s="323" t="s">
        <v>1017</v>
      </c>
      <c r="F54" s="323">
        <v>2014</v>
      </c>
      <c r="G54" s="323" t="s">
        <v>1003</v>
      </c>
      <c r="H54" s="323" t="s">
        <v>1018</v>
      </c>
    </row>
    <row r="55" spans="2:8" s="3" customFormat="1" ht="18.75" customHeight="1" x14ac:dyDescent="0.25">
      <c r="B55" s="51">
        <f t="shared" si="0"/>
        <v>52</v>
      </c>
      <c r="C55" s="29" t="s">
        <v>1019</v>
      </c>
      <c r="D55" s="25" t="s">
        <v>1020</v>
      </c>
      <c r="E55" s="53" t="s">
        <v>1021</v>
      </c>
      <c r="F55" s="31">
        <v>50</v>
      </c>
      <c r="G55" s="31">
        <v>62.5</v>
      </c>
      <c r="H55" s="31">
        <v>62.5</v>
      </c>
    </row>
    <row r="56" spans="2:8" s="3" customFormat="1" ht="18.75" customHeight="1" x14ac:dyDescent="0.25">
      <c r="B56" s="51">
        <f t="shared" si="0"/>
        <v>53</v>
      </c>
      <c r="C56" s="29"/>
      <c r="D56" s="25"/>
      <c r="E56" s="25"/>
      <c r="F56" s="31"/>
      <c r="G56" s="31"/>
      <c r="H56" s="31"/>
    </row>
    <row r="57" spans="2:8" s="3" customFormat="1" ht="18.75" customHeight="1" x14ac:dyDescent="0.25">
      <c r="B57" s="51">
        <f t="shared" si="0"/>
        <v>54</v>
      </c>
      <c r="C57" s="23" t="s">
        <v>1022</v>
      </c>
      <c r="D57" s="25" t="s">
        <v>1020</v>
      </c>
      <c r="E57" s="53" t="s">
        <v>470</v>
      </c>
      <c r="F57" s="31">
        <v>26.17</v>
      </c>
      <c r="G57" s="31">
        <v>32.71</v>
      </c>
      <c r="H57" s="31">
        <v>32.71</v>
      </c>
    </row>
    <row r="58" spans="2:8" s="3" customFormat="1" ht="18.75" customHeight="1" x14ac:dyDescent="0.25">
      <c r="B58" s="51">
        <f t="shared" si="0"/>
        <v>55</v>
      </c>
      <c r="C58" s="23"/>
      <c r="D58" s="25" t="s">
        <v>1020</v>
      </c>
      <c r="E58" s="53" t="s">
        <v>1023</v>
      </c>
      <c r="F58" s="31">
        <v>32.33</v>
      </c>
      <c r="G58" s="31">
        <v>40.42</v>
      </c>
      <c r="H58" s="31">
        <v>40.42</v>
      </c>
    </row>
    <row r="59" spans="2:8" s="3" customFormat="1" ht="18.75" customHeight="1" x14ac:dyDescent="0.25">
      <c r="B59" s="51">
        <f t="shared" si="0"/>
        <v>56</v>
      </c>
      <c r="C59" s="23"/>
      <c r="D59" s="25"/>
      <c r="E59" s="53"/>
      <c r="F59" s="31"/>
      <c r="G59" s="31"/>
      <c r="H59" s="31"/>
    </row>
    <row r="60" spans="2:8" s="3" customFormat="1" ht="18.75" customHeight="1" x14ac:dyDescent="0.25">
      <c r="B60" s="51">
        <f t="shared" si="0"/>
        <v>57</v>
      </c>
      <c r="C60" s="29" t="s">
        <v>1024</v>
      </c>
      <c r="D60" s="25" t="s">
        <v>1025</v>
      </c>
      <c r="E60" s="53" t="s">
        <v>1026</v>
      </c>
      <c r="F60" s="31">
        <v>50</v>
      </c>
      <c r="G60" s="31">
        <v>62.5</v>
      </c>
      <c r="H60" s="31">
        <v>62.5</v>
      </c>
    </row>
    <row r="61" spans="2:8" s="3" customFormat="1" ht="18.75" customHeight="1" x14ac:dyDescent="0.25">
      <c r="B61" s="51">
        <f t="shared" si="0"/>
        <v>58</v>
      </c>
      <c r="C61" s="29"/>
      <c r="D61" s="25" t="s">
        <v>1025</v>
      </c>
      <c r="E61" s="53" t="s">
        <v>1027</v>
      </c>
      <c r="F61" s="32" t="s">
        <v>1028</v>
      </c>
      <c r="G61" s="32" t="s">
        <v>1029</v>
      </c>
      <c r="H61" s="32" t="s">
        <v>1029</v>
      </c>
    </row>
    <row r="62" spans="2:8" s="3" customFormat="1" ht="18.75" customHeight="1" x14ac:dyDescent="0.25">
      <c r="B62" s="51">
        <f t="shared" si="0"/>
        <v>59</v>
      </c>
      <c r="C62" s="29"/>
      <c r="D62" s="25"/>
      <c r="E62" s="30"/>
      <c r="F62" s="32"/>
      <c r="G62" s="32"/>
      <c r="H62" s="32"/>
    </row>
    <row r="63" spans="2:8" s="3" customFormat="1" ht="18.75" customHeight="1" x14ac:dyDescent="0.25">
      <c r="B63" s="256">
        <f t="shared" si="0"/>
        <v>60</v>
      </c>
      <c r="C63" s="323" t="s">
        <v>1030</v>
      </c>
      <c r="D63" s="323" t="s">
        <v>1031</v>
      </c>
      <c r="E63" s="323" t="s">
        <v>1032</v>
      </c>
      <c r="F63" s="324"/>
      <c r="G63" s="324"/>
      <c r="H63" s="324"/>
    </row>
    <row r="64" spans="2:8" s="3" customFormat="1" ht="18.75" customHeight="1" x14ac:dyDescent="0.25">
      <c r="B64" s="51">
        <f t="shared" si="0"/>
        <v>61</v>
      </c>
      <c r="C64" s="23" t="s">
        <v>1033</v>
      </c>
      <c r="D64" s="590"/>
      <c r="E64" s="52"/>
      <c r="F64" s="591"/>
      <c r="G64" s="591"/>
      <c r="H64" s="591"/>
    </row>
    <row r="65" spans="2:8" s="3" customFormat="1" ht="18.75" customHeight="1" x14ac:dyDescent="0.25">
      <c r="B65" s="51">
        <f t="shared" si="0"/>
        <v>62</v>
      </c>
      <c r="C65" s="23" t="s">
        <v>1034</v>
      </c>
      <c r="D65" s="590">
        <f>D4+(3*D18)</f>
        <v>29.305</v>
      </c>
      <c r="E65" s="590">
        <f>D4+(3*D37)</f>
        <v>37.963000000000001</v>
      </c>
      <c r="F65" s="591"/>
      <c r="G65" s="591"/>
      <c r="H65" s="591"/>
    </row>
    <row r="66" spans="2:8" s="3" customFormat="1" ht="18.75" customHeight="1" x14ac:dyDescent="0.25">
      <c r="B66" s="51">
        <f t="shared" si="0"/>
        <v>63</v>
      </c>
      <c r="C66" s="23" t="s">
        <v>1035</v>
      </c>
      <c r="D66" s="590">
        <f>D4+(6*D18)</f>
        <v>42.61</v>
      </c>
      <c r="E66" s="590">
        <f>D4+(6*D37)</f>
        <v>59.926000000000002</v>
      </c>
      <c r="F66" s="591"/>
      <c r="G66" s="591"/>
      <c r="H66" s="591"/>
    </row>
    <row r="67" spans="2:8" s="3" customFormat="1" ht="18.75" customHeight="1" x14ac:dyDescent="0.25">
      <c r="B67" s="51">
        <f t="shared" si="0"/>
        <v>64</v>
      </c>
      <c r="C67" s="23"/>
      <c r="D67" s="52"/>
      <c r="E67" s="52"/>
      <c r="F67" s="591"/>
      <c r="G67" s="591"/>
      <c r="H67" s="591"/>
    </row>
    <row r="68" spans="2:8" s="3" customFormat="1" ht="18.75" customHeight="1" x14ac:dyDescent="0.25">
      <c r="B68" s="51">
        <f t="shared" si="0"/>
        <v>65</v>
      </c>
      <c r="C68" s="23" t="s">
        <v>1036</v>
      </c>
      <c r="D68" s="52"/>
      <c r="E68" s="52"/>
      <c r="F68" s="591"/>
      <c r="G68" s="591"/>
      <c r="H68" s="591"/>
    </row>
    <row r="69" spans="2:8" s="3" customFormat="1" ht="18.75" customHeight="1" x14ac:dyDescent="0.25">
      <c r="B69" s="51">
        <f t="shared" si="0"/>
        <v>66</v>
      </c>
      <c r="C69" s="23" t="s">
        <v>1034</v>
      </c>
      <c r="D69" s="590">
        <f>E4+(3*D24)</f>
        <v>33.772999999999996</v>
      </c>
      <c r="E69" s="590">
        <f>E4+(3*D40)</f>
        <v>40.463000000000001</v>
      </c>
      <c r="F69" s="591"/>
      <c r="G69" s="591"/>
      <c r="H69" s="591"/>
    </row>
    <row r="70" spans="2:8" s="3" customFormat="1" ht="18.75" customHeight="1" x14ac:dyDescent="0.25">
      <c r="B70" s="51">
        <f t="shared" si="0"/>
        <v>67</v>
      </c>
      <c r="C70" s="23" t="s">
        <v>1035</v>
      </c>
      <c r="D70" s="590">
        <f>E4+(6*D24)</f>
        <v>49.045999999999999</v>
      </c>
      <c r="E70" s="590">
        <f>E4+(6*D40)</f>
        <v>62.426000000000002</v>
      </c>
      <c r="F70" s="591"/>
      <c r="G70" s="591"/>
      <c r="H70" s="591"/>
    </row>
    <row r="71" spans="2:8" s="3" customFormat="1" ht="18.75" customHeight="1" x14ac:dyDescent="0.25">
      <c r="B71" s="51">
        <f t="shared" si="0"/>
        <v>68</v>
      </c>
      <c r="C71" s="23"/>
      <c r="D71" s="52"/>
      <c r="E71" s="52"/>
      <c r="F71" s="591"/>
      <c r="G71" s="591"/>
      <c r="H71" s="591"/>
    </row>
    <row r="72" spans="2:8" s="3" customFormat="1" ht="18.75" customHeight="1" x14ac:dyDescent="0.25">
      <c r="B72" s="51">
        <f t="shared" si="0"/>
        <v>69</v>
      </c>
      <c r="C72" s="23" t="s">
        <v>1037</v>
      </c>
      <c r="D72" s="52"/>
      <c r="E72" s="52"/>
      <c r="F72" s="591"/>
      <c r="G72" s="591"/>
      <c r="H72" s="591"/>
    </row>
    <row r="73" spans="2:8" s="3" customFormat="1" ht="18.75" customHeight="1" x14ac:dyDescent="0.25">
      <c r="B73" s="51">
        <f t="shared" si="0"/>
        <v>70</v>
      </c>
      <c r="C73" s="23" t="s">
        <v>1034</v>
      </c>
      <c r="D73" s="590">
        <f>F4+(3*D30)</f>
        <v>31.285999999999998</v>
      </c>
      <c r="E73" s="590">
        <f>F4+(3*D49)</f>
        <v>40.582999999999998</v>
      </c>
      <c r="F73" s="591"/>
      <c r="G73" s="591"/>
      <c r="H73" s="591"/>
    </row>
    <row r="74" spans="2:8" s="3" customFormat="1" ht="18.75" customHeight="1" x14ac:dyDescent="0.25">
      <c r="B74" s="51">
        <f t="shared" si="0"/>
        <v>71</v>
      </c>
      <c r="C74" s="23" t="s">
        <v>1035</v>
      </c>
      <c r="D74" s="590">
        <f>F4+(6*D30)</f>
        <v>46.321999999999996</v>
      </c>
      <c r="E74" s="590">
        <f>F4+(6*D49)</f>
        <v>64.915999999999997</v>
      </c>
      <c r="F74" s="591"/>
      <c r="G74" s="591"/>
      <c r="H74" s="591"/>
    </row>
    <row r="75" spans="2:8" s="3" customFormat="1" ht="18.75" customHeight="1" x14ac:dyDescent="0.25">
      <c r="B75" s="51">
        <f t="shared" si="0"/>
        <v>72</v>
      </c>
      <c r="C75" s="23"/>
      <c r="D75" s="52"/>
      <c r="E75" s="52"/>
      <c r="F75" s="591"/>
      <c r="G75" s="591"/>
      <c r="H75" s="591"/>
    </row>
    <row r="76" spans="2:8" s="3" customFormat="1" ht="18.75" customHeight="1" x14ac:dyDescent="0.25">
      <c r="B76" s="51">
        <f>+B71+1</f>
        <v>69</v>
      </c>
      <c r="C76" s="23" t="s">
        <v>1038</v>
      </c>
      <c r="D76" s="52"/>
      <c r="E76" s="52"/>
      <c r="F76" s="591"/>
      <c r="G76" s="591"/>
      <c r="H76" s="591"/>
    </row>
    <row r="77" spans="2:8" s="3" customFormat="1" ht="18.75" customHeight="1" x14ac:dyDescent="0.25">
      <c r="B77" s="51">
        <f t="shared" si="0"/>
        <v>70</v>
      </c>
      <c r="C77" s="23" t="s">
        <v>1034</v>
      </c>
      <c r="D77" s="671">
        <f>(D73-D65)/D65</f>
        <v>6.7599385770346299E-2</v>
      </c>
      <c r="E77" s="671">
        <f>(E73-E65)/E65</f>
        <v>6.9014566815056702E-2</v>
      </c>
      <c r="F77" s="591"/>
      <c r="G77" s="591"/>
      <c r="H77" s="591"/>
    </row>
    <row r="78" spans="2:8" s="3" customFormat="1" ht="18.75" customHeight="1" x14ac:dyDescent="0.25">
      <c r="B78" s="51">
        <f t="shared" si="0"/>
        <v>71</v>
      </c>
      <c r="C78" s="23" t="s">
        <v>1035</v>
      </c>
      <c r="D78" s="671">
        <f>(D74-D66)/D66</f>
        <v>8.7115700539779309E-2</v>
      </c>
      <c r="E78" s="671">
        <f>(E74-E66)/E66</f>
        <v>8.326936555084595E-2</v>
      </c>
      <c r="F78" s="591"/>
      <c r="G78" s="591"/>
      <c r="H78" s="591"/>
    </row>
    <row r="79" spans="2:8" ht="18.75" customHeight="1" x14ac:dyDescent="0.25"/>
    <row r="80" spans="2:8" ht="18.75" customHeight="1" x14ac:dyDescent="0.25">
      <c r="B80" s="49" t="s">
        <v>1039</v>
      </c>
    </row>
    <row r="81" spans="2:2" ht="18.75" customHeight="1" x14ac:dyDescent="0.25">
      <c r="B81" s="49" t="s">
        <v>12</v>
      </c>
    </row>
    <row r="82" spans="2:2" ht="18.75" customHeight="1" x14ac:dyDescent="0.25"/>
    <row r="83" spans="2:2" ht="18.75" customHeight="1" x14ac:dyDescent="0.25"/>
    <row r="84" spans="2:2" ht="18.75" customHeight="1" x14ac:dyDescent="0.25"/>
  </sheetData>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H88"/>
  <sheetViews>
    <sheetView showGridLines="0" topLeftCell="A2" zoomScale="125" zoomScaleNormal="125" zoomScalePageLayoutView="125" workbookViewId="0"/>
  </sheetViews>
  <sheetFormatPr defaultColWidth="10.85546875" defaultRowHeight="15.75" x14ac:dyDescent="0.25"/>
  <cols>
    <col min="1" max="1" width="2.7109375" style="156" customWidth="1"/>
    <col min="2" max="2" width="6.7109375" style="156" customWidth="1"/>
    <col min="3" max="3" width="31.42578125" style="156" customWidth="1"/>
    <col min="4" max="5" width="10.85546875" style="156"/>
    <col min="6" max="7" width="11.85546875" style="156" bestFit="1" customWidth="1"/>
    <col min="8" max="16384" width="10.85546875" style="156"/>
  </cols>
  <sheetData>
    <row r="1" spans="2:8" s="9" customFormat="1" ht="9.75" customHeight="1" x14ac:dyDescent="0.25">
      <c r="B1" s="80"/>
    </row>
    <row r="2" spans="2:8" s="11" customFormat="1" ht="37.5" customHeight="1" x14ac:dyDescent="0.25">
      <c r="B2" s="12" t="s">
        <v>1040</v>
      </c>
    </row>
    <row r="3" spans="2:8" s="592" customFormat="1" ht="18.75" customHeight="1" x14ac:dyDescent="0.25">
      <c r="B3" s="326" t="s">
        <v>13</v>
      </c>
      <c r="C3" s="327" t="s">
        <v>1041</v>
      </c>
      <c r="D3" s="328" t="s">
        <v>1042</v>
      </c>
      <c r="E3" s="328" t="s">
        <v>1043</v>
      </c>
      <c r="F3" s="329" t="s">
        <v>1044</v>
      </c>
      <c r="G3" s="329" t="s">
        <v>1045</v>
      </c>
      <c r="H3" s="592" t="s">
        <v>1046</v>
      </c>
    </row>
    <row r="4" spans="2:8" s="592" customFormat="1" ht="18.75" customHeight="1" x14ac:dyDescent="0.25">
      <c r="B4" s="63">
        <v>1</v>
      </c>
      <c r="C4" s="222" t="s">
        <v>1047</v>
      </c>
      <c r="D4" s="223">
        <f>F4/3</f>
        <v>6.81</v>
      </c>
      <c r="E4" s="223">
        <f>G4/3</f>
        <v>13.62</v>
      </c>
      <c r="F4" s="224">
        <v>20.43</v>
      </c>
      <c r="G4" s="224">
        <v>40.86</v>
      </c>
    </row>
    <row r="5" spans="2:8" s="592" customFormat="1" ht="18.75" customHeight="1" x14ac:dyDescent="0.25">
      <c r="B5" s="40">
        <f t="shared" ref="B5:B49" si="0">+B4+1</f>
        <v>2</v>
      </c>
      <c r="C5" s="222" t="s">
        <v>1048</v>
      </c>
      <c r="D5" s="223">
        <v>8.9700000000000006</v>
      </c>
      <c r="E5" s="223">
        <v>12.98</v>
      </c>
      <c r="F5" s="224"/>
      <c r="G5" s="224"/>
    </row>
    <row r="6" spans="2:8" s="592" customFormat="1" ht="18.75" customHeight="1" x14ac:dyDescent="0.25">
      <c r="B6" s="40">
        <f t="shared" si="0"/>
        <v>3</v>
      </c>
      <c r="C6" s="222" t="s">
        <v>1049</v>
      </c>
      <c r="D6" s="223">
        <f>F6/3</f>
        <v>14.46</v>
      </c>
      <c r="E6" s="223">
        <f>G6/3</f>
        <v>25.92</v>
      </c>
      <c r="F6" s="224">
        <v>43.38</v>
      </c>
      <c r="G6" s="224">
        <v>77.760000000000005</v>
      </c>
    </row>
    <row r="7" spans="2:8" s="592" customFormat="1" ht="18.75" customHeight="1" x14ac:dyDescent="0.25">
      <c r="B7" s="40">
        <f t="shared" si="0"/>
        <v>4</v>
      </c>
      <c r="C7" s="222" t="s">
        <v>1050</v>
      </c>
      <c r="D7" s="223">
        <f>34.09/2</f>
        <v>17.045000000000002</v>
      </c>
      <c r="E7" s="223">
        <f>56.89/2</f>
        <v>28.445</v>
      </c>
      <c r="F7" s="224"/>
      <c r="G7" s="224"/>
    </row>
    <row r="8" spans="2:8" s="592" customFormat="1" ht="18.75" customHeight="1" x14ac:dyDescent="0.25">
      <c r="B8" s="40">
        <f t="shared" si="0"/>
        <v>5</v>
      </c>
      <c r="C8" s="222" t="s">
        <v>1051</v>
      </c>
      <c r="D8" s="223">
        <v>18.05</v>
      </c>
      <c r="E8" s="223">
        <v>31.91</v>
      </c>
      <c r="F8" s="224"/>
      <c r="G8" s="224"/>
    </row>
    <row r="9" spans="2:8" s="592" customFormat="1" ht="18.75" customHeight="1" x14ac:dyDescent="0.25">
      <c r="B9" s="40">
        <f t="shared" si="0"/>
        <v>6</v>
      </c>
      <c r="C9" s="222" t="s">
        <v>1052</v>
      </c>
      <c r="D9" s="223">
        <f t="shared" ref="D9:E11" si="1">F9/3</f>
        <v>19.183333333333334</v>
      </c>
      <c r="E9" s="223">
        <f t="shared" si="1"/>
        <v>32.053333333333335</v>
      </c>
      <c r="F9" s="224">
        <v>57.55</v>
      </c>
      <c r="G9" s="224">
        <v>96.16</v>
      </c>
    </row>
    <row r="10" spans="2:8" s="592" customFormat="1" ht="18.75" customHeight="1" x14ac:dyDescent="0.25">
      <c r="B10" s="40">
        <f t="shared" si="0"/>
        <v>7</v>
      </c>
      <c r="C10" s="222" t="s">
        <v>1053</v>
      </c>
      <c r="D10" s="223">
        <f t="shared" si="1"/>
        <v>20.18</v>
      </c>
      <c r="E10" s="223">
        <f t="shared" si="1"/>
        <v>36.5</v>
      </c>
      <c r="F10" s="224">
        <v>60.54</v>
      </c>
      <c r="G10" s="224">
        <v>109.5</v>
      </c>
    </row>
    <row r="11" spans="2:8" s="592" customFormat="1" ht="18.75" customHeight="1" x14ac:dyDescent="0.25">
      <c r="B11" s="40">
        <f t="shared" si="0"/>
        <v>8</v>
      </c>
      <c r="C11" s="222" t="s">
        <v>1054</v>
      </c>
      <c r="D11" s="223">
        <f t="shared" si="1"/>
        <v>20.413333333333334</v>
      </c>
      <c r="E11" s="223">
        <f t="shared" si="1"/>
        <v>31.973333333333333</v>
      </c>
      <c r="F11" s="224">
        <v>61.24</v>
      </c>
      <c r="G11" s="224">
        <v>95.92</v>
      </c>
    </row>
    <row r="12" spans="2:8" s="592" customFormat="1" ht="18.75" customHeight="1" x14ac:dyDescent="0.25">
      <c r="B12" s="40">
        <f t="shared" si="0"/>
        <v>9</v>
      </c>
      <c r="C12" s="222" t="s">
        <v>1055</v>
      </c>
      <c r="D12" s="223">
        <v>21.05</v>
      </c>
      <c r="E12" s="223">
        <v>25.31</v>
      </c>
      <c r="F12" s="224"/>
      <c r="G12" s="224"/>
    </row>
    <row r="13" spans="2:8" s="592" customFormat="1" ht="18.75" customHeight="1" x14ac:dyDescent="0.25">
      <c r="B13" s="40">
        <f t="shared" si="0"/>
        <v>10</v>
      </c>
      <c r="C13" s="222" t="s">
        <v>1056</v>
      </c>
      <c r="D13" s="223">
        <v>22.35</v>
      </c>
      <c r="E13" s="223">
        <v>32.700000000000003</v>
      </c>
      <c r="F13" s="224"/>
      <c r="G13" s="224"/>
    </row>
    <row r="14" spans="2:8" s="592" customFormat="1" ht="18.75" customHeight="1" x14ac:dyDescent="0.25">
      <c r="B14" s="40">
        <f t="shared" si="0"/>
        <v>11</v>
      </c>
      <c r="C14" s="222" t="s">
        <v>1057</v>
      </c>
      <c r="D14" s="223">
        <f>F14/3</f>
        <v>22.643333333333334</v>
      </c>
      <c r="E14" s="223">
        <f>G14/3</f>
        <v>38.823333333333331</v>
      </c>
      <c r="F14" s="224">
        <v>67.930000000000007</v>
      </c>
      <c r="G14" s="224">
        <v>116.47</v>
      </c>
    </row>
    <row r="15" spans="2:8" s="592" customFormat="1" ht="18.75" customHeight="1" x14ac:dyDescent="0.25">
      <c r="B15" s="40">
        <f t="shared" si="0"/>
        <v>12</v>
      </c>
      <c r="C15" s="222" t="s">
        <v>1058</v>
      </c>
      <c r="D15" s="223">
        <v>23.33</v>
      </c>
      <c r="E15" s="223">
        <v>34.25</v>
      </c>
      <c r="F15" s="224"/>
      <c r="G15" s="224"/>
    </row>
    <row r="16" spans="2:8" s="592" customFormat="1" ht="18.75" customHeight="1" x14ac:dyDescent="0.25">
      <c r="B16" s="40">
        <f t="shared" si="0"/>
        <v>13</v>
      </c>
      <c r="C16" s="222" t="s">
        <v>1059</v>
      </c>
      <c r="D16" s="223">
        <f>F16/3</f>
        <v>24.083333333333332</v>
      </c>
      <c r="E16" s="223">
        <f>G16/3</f>
        <v>41.703333333333333</v>
      </c>
      <c r="F16" s="224">
        <v>72.25</v>
      </c>
      <c r="G16" s="224">
        <v>125.11</v>
      </c>
    </row>
    <row r="17" spans="2:7" s="592" customFormat="1" ht="18.75" customHeight="1" x14ac:dyDescent="0.25">
      <c r="B17" s="40">
        <f t="shared" si="0"/>
        <v>14</v>
      </c>
      <c r="C17" s="222" t="s">
        <v>1060</v>
      </c>
      <c r="D17" s="223">
        <v>26.1</v>
      </c>
      <c r="E17" s="223">
        <v>35.700000000000003</v>
      </c>
      <c r="F17" s="224"/>
      <c r="G17" s="224"/>
    </row>
    <row r="18" spans="2:7" s="592" customFormat="1" ht="18.75" customHeight="1" x14ac:dyDescent="0.25">
      <c r="B18" s="40">
        <f t="shared" si="0"/>
        <v>15</v>
      </c>
      <c r="C18" s="222" t="s">
        <v>1061</v>
      </c>
      <c r="D18" s="223">
        <v>27.38</v>
      </c>
      <c r="E18" s="223">
        <v>39.71</v>
      </c>
      <c r="F18" s="224"/>
      <c r="G18" s="224"/>
    </row>
    <row r="19" spans="2:7" s="592" customFormat="1" ht="18.75" customHeight="1" x14ac:dyDescent="0.25">
      <c r="B19" s="40">
        <f t="shared" si="0"/>
        <v>16</v>
      </c>
      <c r="C19" s="222" t="s">
        <v>1062</v>
      </c>
      <c r="D19" s="223">
        <v>27.55</v>
      </c>
      <c r="E19" s="223">
        <v>43.6</v>
      </c>
      <c r="F19" s="224"/>
      <c r="G19" s="224"/>
    </row>
    <row r="20" spans="2:7" s="592" customFormat="1" ht="18.75" customHeight="1" x14ac:dyDescent="0.25">
      <c r="B20" s="40">
        <f t="shared" si="0"/>
        <v>17</v>
      </c>
      <c r="C20" s="225" t="s">
        <v>1063</v>
      </c>
      <c r="D20" s="330">
        <v>29.31</v>
      </c>
      <c r="E20" s="330">
        <v>42.61</v>
      </c>
      <c r="F20" s="224"/>
      <c r="G20" s="224"/>
    </row>
    <row r="21" spans="2:7" s="592" customFormat="1" ht="18.75" customHeight="1" x14ac:dyDescent="0.25">
      <c r="B21" s="40">
        <f t="shared" si="0"/>
        <v>18</v>
      </c>
      <c r="C21" s="222" t="s">
        <v>1064</v>
      </c>
      <c r="D21" s="223">
        <v>30.66</v>
      </c>
      <c r="E21" s="223">
        <v>44.49</v>
      </c>
      <c r="F21" s="224"/>
      <c r="G21" s="224"/>
    </row>
    <row r="22" spans="2:7" s="592" customFormat="1" ht="18.75" customHeight="1" x14ac:dyDescent="0.25">
      <c r="B22" s="40">
        <f t="shared" si="0"/>
        <v>19</v>
      </c>
      <c r="C22" s="222" t="s">
        <v>1065</v>
      </c>
      <c r="D22" s="223">
        <v>31.28</v>
      </c>
      <c r="E22" s="223">
        <v>46.31</v>
      </c>
      <c r="F22" s="224"/>
      <c r="G22" s="224"/>
    </row>
    <row r="23" spans="2:7" s="592" customFormat="1" ht="18.75" customHeight="1" x14ac:dyDescent="0.25">
      <c r="B23" s="40">
        <f t="shared" si="0"/>
        <v>20</v>
      </c>
      <c r="C23" s="222" t="s">
        <v>1066</v>
      </c>
      <c r="D23" s="223">
        <v>31.77</v>
      </c>
      <c r="E23" s="223">
        <v>51.54</v>
      </c>
      <c r="F23" s="224"/>
      <c r="G23" s="224"/>
    </row>
    <row r="24" spans="2:7" s="592" customFormat="1" ht="18.75" customHeight="1" x14ac:dyDescent="0.25">
      <c r="B24" s="40">
        <f t="shared" si="0"/>
        <v>21</v>
      </c>
      <c r="C24" s="222" t="s">
        <v>1067</v>
      </c>
      <c r="D24" s="223">
        <v>32.43</v>
      </c>
      <c r="E24" s="223">
        <v>52.85</v>
      </c>
      <c r="F24" s="224"/>
      <c r="G24" s="224"/>
    </row>
    <row r="25" spans="2:7" s="592" customFormat="1" ht="18.75" customHeight="1" x14ac:dyDescent="0.25">
      <c r="B25" s="40">
        <f t="shared" si="0"/>
        <v>22</v>
      </c>
      <c r="C25" s="222" t="s">
        <v>1068</v>
      </c>
      <c r="D25" s="223">
        <v>33.08</v>
      </c>
      <c r="E25" s="223">
        <v>57.76</v>
      </c>
      <c r="F25" s="224"/>
      <c r="G25" s="224"/>
    </row>
    <row r="26" spans="2:7" s="592" customFormat="1" ht="18.75" customHeight="1" x14ac:dyDescent="0.25">
      <c r="B26" s="40">
        <f t="shared" si="0"/>
        <v>23</v>
      </c>
      <c r="C26" s="222" t="s">
        <v>1069</v>
      </c>
      <c r="D26" s="223">
        <v>33.6</v>
      </c>
      <c r="E26" s="223">
        <v>52.2</v>
      </c>
      <c r="F26" s="224"/>
      <c r="G26" s="224"/>
    </row>
    <row r="27" spans="2:7" s="592" customFormat="1" ht="18.75" customHeight="1" x14ac:dyDescent="0.25">
      <c r="B27" s="40">
        <f t="shared" si="0"/>
        <v>24</v>
      </c>
      <c r="C27" s="222" t="s">
        <v>1070</v>
      </c>
      <c r="D27" s="223">
        <v>34.42</v>
      </c>
      <c r="E27" s="223">
        <v>49.06</v>
      </c>
      <c r="F27" s="224"/>
      <c r="G27" s="224"/>
    </row>
    <row r="28" spans="2:7" s="592" customFormat="1" ht="18.75" customHeight="1" x14ac:dyDescent="0.25">
      <c r="B28" s="40">
        <f t="shared" si="0"/>
        <v>25</v>
      </c>
      <c r="C28" s="222" t="s">
        <v>1071</v>
      </c>
      <c r="D28" s="223">
        <v>34.590000000000003</v>
      </c>
      <c r="E28" s="223">
        <v>51.63</v>
      </c>
      <c r="F28" s="224"/>
      <c r="G28" s="224"/>
    </row>
    <row r="29" spans="2:7" s="592" customFormat="1" ht="18.75" customHeight="1" x14ac:dyDescent="0.25">
      <c r="B29" s="40">
        <f t="shared" si="0"/>
        <v>26</v>
      </c>
      <c r="C29" s="222" t="s">
        <v>1072</v>
      </c>
      <c r="D29" s="223">
        <v>35.049999999999997</v>
      </c>
      <c r="E29" s="223">
        <v>56.35</v>
      </c>
      <c r="F29" s="224"/>
      <c r="G29" s="224"/>
    </row>
    <row r="30" spans="2:7" s="592" customFormat="1" ht="18.75" customHeight="1" x14ac:dyDescent="0.25">
      <c r="B30" s="40">
        <f t="shared" si="0"/>
        <v>27</v>
      </c>
      <c r="C30" s="222" t="s">
        <v>1073</v>
      </c>
      <c r="D30" s="223">
        <v>36.299999999999997</v>
      </c>
      <c r="E30" s="223">
        <v>57.6</v>
      </c>
      <c r="F30" s="224"/>
      <c r="G30" s="224"/>
    </row>
    <row r="31" spans="2:7" s="592" customFormat="1" ht="18.75" customHeight="1" x14ac:dyDescent="0.25">
      <c r="B31" s="40">
        <f t="shared" si="0"/>
        <v>28</v>
      </c>
      <c r="C31" s="222" t="s">
        <v>1074</v>
      </c>
      <c r="D31" s="223">
        <v>36.86</v>
      </c>
      <c r="E31" s="223">
        <v>59.48</v>
      </c>
      <c r="F31" s="224"/>
      <c r="G31" s="224"/>
    </row>
    <row r="32" spans="2:7" s="592" customFormat="1" ht="18.75" customHeight="1" x14ac:dyDescent="0.25">
      <c r="B32" s="40">
        <f t="shared" si="0"/>
        <v>29</v>
      </c>
      <c r="C32" s="222" t="s">
        <v>1075</v>
      </c>
      <c r="D32" s="223">
        <v>36.94</v>
      </c>
      <c r="E32" s="223">
        <v>56.35</v>
      </c>
      <c r="F32" s="224"/>
      <c r="G32" s="224"/>
    </row>
    <row r="33" spans="2:7" s="592" customFormat="1" ht="18.75" customHeight="1" x14ac:dyDescent="0.25">
      <c r="B33" s="40">
        <f t="shared" si="0"/>
        <v>30</v>
      </c>
      <c r="C33" s="222" t="s">
        <v>1076</v>
      </c>
      <c r="D33" s="223">
        <v>37.020000000000003</v>
      </c>
      <c r="E33" s="223">
        <v>54.38</v>
      </c>
      <c r="F33" s="224"/>
      <c r="G33" s="224"/>
    </row>
    <row r="34" spans="2:7" s="592" customFormat="1" ht="18.75" customHeight="1" x14ac:dyDescent="0.25">
      <c r="B34" s="40">
        <f t="shared" si="0"/>
        <v>31</v>
      </c>
      <c r="C34" s="222" t="s">
        <v>1077</v>
      </c>
      <c r="D34" s="223">
        <v>38.619999999999997</v>
      </c>
      <c r="E34" s="223">
        <v>63.25</v>
      </c>
      <c r="F34" s="224"/>
      <c r="G34" s="224"/>
    </row>
    <row r="35" spans="2:7" s="592" customFormat="1" ht="18.75" customHeight="1" x14ac:dyDescent="0.25">
      <c r="B35" s="40">
        <f t="shared" si="0"/>
        <v>32</v>
      </c>
      <c r="C35" s="222" t="s">
        <v>1078</v>
      </c>
      <c r="D35" s="223">
        <v>39.94</v>
      </c>
      <c r="E35" s="223">
        <v>63.88</v>
      </c>
      <c r="F35" s="224"/>
      <c r="G35" s="224"/>
    </row>
    <row r="36" spans="2:7" s="592" customFormat="1" ht="18.75" customHeight="1" x14ac:dyDescent="0.25">
      <c r="B36" s="40">
        <f t="shared" si="0"/>
        <v>33</v>
      </c>
      <c r="C36" s="222" t="s">
        <v>1079</v>
      </c>
      <c r="D36" s="223">
        <v>40</v>
      </c>
      <c r="E36" s="223">
        <v>64</v>
      </c>
      <c r="F36" s="224"/>
      <c r="G36" s="224"/>
    </row>
    <row r="37" spans="2:7" s="592" customFormat="1" ht="18.75" customHeight="1" x14ac:dyDescent="0.25">
      <c r="B37" s="40">
        <f t="shared" si="0"/>
        <v>34</v>
      </c>
      <c r="C37" s="222" t="s">
        <v>1080</v>
      </c>
      <c r="D37" s="223">
        <v>41.05</v>
      </c>
      <c r="E37" s="223">
        <v>68.36</v>
      </c>
      <c r="F37" s="224"/>
      <c r="G37" s="224"/>
    </row>
    <row r="38" spans="2:7" s="592" customFormat="1" ht="18.75" customHeight="1" x14ac:dyDescent="0.25">
      <c r="B38" s="40">
        <f t="shared" si="0"/>
        <v>35</v>
      </c>
      <c r="C38" s="222" t="s">
        <v>1081</v>
      </c>
      <c r="D38" s="223">
        <v>42.4</v>
      </c>
      <c r="E38" s="223">
        <v>68.8</v>
      </c>
      <c r="F38" s="224"/>
      <c r="G38" s="224"/>
    </row>
    <row r="39" spans="2:7" s="592" customFormat="1" ht="18.75" customHeight="1" x14ac:dyDescent="0.25">
      <c r="B39" s="40">
        <f t="shared" si="0"/>
        <v>36</v>
      </c>
      <c r="C39" s="222" t="s">
        <v>1082</v>
      </c>
      <c r="D39" s="223">
        <v>43.5</v>
      </c>
      <c r="E39" s="223">
        <v>70.5</v>
      </c>
      <c r="F39" s="224"/>
      <c r="G39" s="224"/>
    </row>
    <row r="40" spans="2:7" s="592" customFormat="1" ht="18.75" customHeight="1" x14ac:dyDescent="0.25">
      <c r="B40" s="40">
        <f t="shared" si="0"/>
        <v>37</v>
      </c>
      <c r="C40" s="222" t="s">
        <v>1083</v>
      </c>
      <c r="D40" s="223">
        <v>44.49</v>
      </c>
      <c r="E40" s="223">
        <v>75.55</v>
      </c>
      <c r="F40" s="224"/>
      <c r="G40" s="224"/>
    </row>
    <row r="41" spans="2:7" s="592" customFormat="1" ht="18.75" customHeight="1" x14ac:dyDescent="0.25">
      <c r="B41" s="40">
        <f t="shared" si="0"/>
        <v>38</v>
      </c>
      <c r="C41" s="222" t="s">
        <v>1084</v>
      </c>
      <c r="D41" s="223">
        <v>45.38</v>
      </c>
      <c r="E41" s="223">
        <v>73.97</v>
      </c>
      <c r="F41" s="224"/>
      <c r="G41" s="224"/>
    </row>
    <row r="42" spans="2:7" s="592" customFormat="1" ht="18.75" customHeight="1" x14ac:dyDescent="0.25">
      <c r="B42" s="40">
        <f t="shared" si="0"/>
        <v>39</v>
      </c>
      <c r="C42" s="222" t="s">
        <v>1084</v>
      </c>
      <c r="D42" s="223">
        <v>45.38</v>
      </c>
      <c r="E42" s="223">
        <v>73.97</v>
      </c>
      <c r="F42" s="224"/>
      <c r="G42" s="224"/>
    </row>
    <row r="43" spans="2:7" s="592" customFormat="1" ht="18.75" customHeight="1" x14ac:dyDescent="0.25">
      <c r="B43" s="40">
        <f t="shared" si="0"/>
        <v>40</v>
      </c>
      <c r="C43" s="222" t="s">
        <v>1085</v>
      </c>
      <c r="D43" s="223">
        <v>45.64</v>
      </c>
      <c r="E43" s="223">
        <v>76.28</v>
      </c>
      <c r="F43" s="224"/>
      <c r="G43" s="224"/>
    </row>
    <row r="44" spans="2:7" s="592" customFormat="1" ht="18.75" customHeight="1" x14ac:dyDescent="0.25">
      <c r="B44" s="40">
        <f t="shared" si="0"/>
        <v>41</v>
      </c>
      <c r="C44" s="222" t="s">
        <v>1086</v>
      </c>
      <c r="D44" s="223">
        <v>46.93</v>
      </c>
      <c r="E44" s="223">
        <v>80.86</v>
      </c>
      <c r="F44" s="224"/>
      <c r="G44" s="224"/>
    </row>
    <row r="45" spans="2:7" s="592" customFormat="1" ht="18.75" customHeight="1" x14ac:dyDescent="0.25">
      <c r="B45" s="40">
        <f t="shared" si="0"/>
        <v>42</v>
      </c>
      <c r="C45" s="222" t="s">
        <v>1087</v>
      </c>
      <c r="D45" s="223">
        <f>F45/3</f>
        <v>48.25333333333333</v>
      </c>
      <c r="E45" s="223">
        <f>G45/3</f>
        <v>84.51</v>
      </c>
      <c r="F45" s="224">
        <v>144.76</v>
      </c>
      <c r="G45" s="224">
        <v>253.53</v>
      </c>
    </row>
    <row r="46" spans="2:7" s="592" customFormat="1" ht="18.75" customHeight="1" x14ac:dyDescent="0.25">
      <c r="B46" s="40">
        <f t="shared" si="0"/>
        <v>43</v>
      </c>
      <c r="C46" s="222" t="s">
        <v>1088</v>
      </c>
      <c r="D46" s="223">
        <v>48.41</v>
      </c>
      <c r="E46" s="223">
        <v>66.319999999999993</v>
      </c>
      <c r="F46" s="224"/>
      <c r="G46" s="224"/>
    </row>
    <row r="47" spans="2:7" s="592" customFormat="1" ht="18.75" customHeight="1" x14ac:dyDescent="0.25">
      <c r="B47" s="40">
        <f t="shared" si="0"/>
        <v>44</v>
      </c>
      <c r="C47" s="222" t="s">
        <v>1085</v>
      </c>
      <c r="D47" s="223">
        <v>53.15</v>
      </c>
      <c r="E47" s="223">
        <v>89.8</v>
      </c>
      <c r="F47" s="224"/>
      <c r="G47" s="224"/>
    </row>
    <row r="48" spans="2:7" s="592" customFormat="1" ht="18.75" customHeight="1" x14ac:dyDescent="0.25">
      <c r="B48" s="40">
        <f t="shared" si="0"/>
        <v>45</v>
      </c>
      <c r="C48" s="222" t="s">
        <v>1089</v>
      </c>
      <c r="D48" s="223">
        <v>53.51</v>
      </c>
      <c r="E48" s="223">
        <v>87.05</v>
      </c>
      <c r="F48" s="224"/>
      <c r="G48" s="224"/>
    </row>
    <row r="49" spans="2:7" s="592" customFormat="1" ht="18.75" customHeight="1" x14ac:dyDescent="0.25">
      <c r="B49" s="40">
        <f t="shared" si="0"/>
        <v>46</v>
      </c>
      <c r="C49" s="222" t="s">
        <v>1090</v>
      </c>
      <c r="D49" s="223">
        <v>64.67</v>
      </c>
      <c r="E49" s="223">
        <v>106.34</v>
      </c>
      <c r="F49" s="224"/>
      <c r="G49" s="224"/>
    </row>
    <row r="50" spans="2:7" ht="18.75" customHeight="1" x14ac:dyDescent="0.25">
      <c r="B50" s="41" t="s">
        <v>12</v>
      </c>
      <c r="C50" s="226"/>
      <c r="D50" s="227"/>
      <c r="E50" s="227"/>
      <c r="F50" s="226"/>
      <c r="G50" s="226"/>
    </row>
    <row r="51" spans="2:7" ht="12.75" customHeight="1" x14ac:dyDescent="0.25">
      <c r="B51" s="11" t="s">
        <v>1091</v>
      </c>
      <c r="D51" s="228"/>
      <c r="E51" s="228"/>
      <c r="F51" s="11"/>
      <c r="G51" s="11"/>
    </row>
    <row r="52" spans="2:7" ht="12.75" customHeight="1" x14ac:dyDescent="0.25">
      <c r="B52" s="11" t="s">
        <v>1092</v>
      </c>
      <c r="D52" s="228"/>
      <c r="E52" s="228"/>
      <c r="F52" s="11"/>
      <c r="G52" s="11"/>
    </row>
    <row r="53" spans="2:7" ht="18.75" customHeight="1" x14ac:dyDescent="0.25">
      <c r="C53" s="11"/>
      <c r="D53" s="228"/>
      <c r="E53" s="228"/>
      <c r="F53" s="11"/>
      <c r="G53" s="11"/>
    </row>
    <row r="54" spans="2:7" ht="18.75" customHeight="1" x14ac:dyDescent="0.25">
      <c r="D54" s="229"/>
      <c r="E54" s="229"/>
    </row>
    <row r="55" spans="2:7" ht="18.75" customHeight="1" x14ac:dyDescent="0.25">
      <c r="D55" s="229"/>
      <c r="E55" s="229"/>
    </row>
    <row r="56" spans="2:7" ht="18.75" customHeight="1" x14ac:dyDescent="0.25">
      <c r="D56" s="229"/>
      <c r="E56" s="229"/>
    </row>
    <row r="57" spans="2:7" ht="18.75" customHeight="1" x14ac:dyDescent="0.25">
      <c r="D57" s="229"/>
      <c r="E57" s="229"/>
    </row>
    <row r="58" spans="2:7" ht="18.75" customHeight="1" x14ac:dyDescent="0.25">
      <c r="D58" s="229"/>
      <c r="E58" s="229"/>
    </row>
    <row r="59" spans="2:7" ht="18.75" customHeight="1" x14ac:dyDescent="0.25">
      <c r="D59" s="229"/>
      <c r="E59" s="229"/>
    </row>
    <row r="60" spans="2:7" ht="18.75" customHeight="1" x14ac:dyDescent="0.25">
      <c r="D60" s="229"/>
      <c r="E60" s="229"/>
    </row>
    <row r="61" spans="2:7" ht="18.75" customHeight="1" x14ac:dyDescent="0.25">
      <c r="D61" s="229"/>
      <c r="E61" s="229"/>
    </row>
    <row r="62" spans="2:7" ht="18.75" customHeight="1" x14ac:dyDescent="0.25">
      <c r="D62" s="229"/>
      <c r="E62" s="229"/>
    </row>
    <row r="63" spans="2:7" ht="18.75" customHeight="1" x14ac:dyDescent="0.25">
      <c r="D63" s="229"/>
      <c r="E63" s="229"/>
    </row>
    <row r="64" spans="2:7" ht="18.75" customHeight="1" x14ac:dyDescent="0.25">
      <c r="D64" s="229"/>
      <c r="E64" s="229"/>
    </row>
    <row r="65" spans="4:5" ht="18.75" customHeight="1" x14ac:dyDescent="0.25">
      <c r="D65" s="229"/>
      <c r="E65" s="229"/>
    </row>
    <row r="66" spans="4:5" ht="18.75" customHeight="1" x14ac:dyDescent="0.25">
      <c r="D66" s="229"/>
      <c r="E66" s="229"/>
    </row>
    <row r="67" spans="4:5" ht="18.75" customHeight="1" x14ac:dyDescent="0.25">
      <c r="D67" s="229"/>
      <c r="E67" s="229"/>
    </row>
    <row r="68" spans="4:5" ht="18.75" customHeight="1" x14ac:dyDescent="0.25">
      <c r="D68" s="229"/>
      <c r="E68" s="229"/>
    </row>
    <row r="69" spans="4:5" ht="18.75" customHeight="1" x14ac:dyDescent="0.25">
      <c r="D69" s="229"/>
      <c r="E69" s="229"/>
    </row>
    <row r="70" spans="4:5" ht="18.75" customHeight="1" x14ac:dyDescent="0.25">
      <c r="D70" s="229"/>
      <c r="E70" s="229"/>
    </row>
    <row r="71" spans="4:5" ht="18.75" customHeight="1" x14ac:dyDescent="0.25">
      <c r="D71" s="229"/>
      <c r="E71" s="229"/>
    </row>
    <row r="72" spans="4:5" ht="18.75" customHeight="1" x14ac:dyDescent="0.25">
      <c r="D72" s="229"/>
      <c r="E72" s="229"/>
    </row>
    <row r="73" spans="4:5" ht="18.75" customHeight="1" x14ac:dyDescent="0.25">
      <c r="D73" s="229"/>
      <c r="E73" s="229"/>
    </row>
    <row r="74" spans="4:5" ht="18.75" customHeight="1" x14ac:dyDescent="0.25">
      <c r="D74" s="229"/>
      <c r="E74" s="229"/>
    </row>
    <row r="75" spans="4:5" ht="18.75" customHeight="1" x14ac:dyDescent="0.25">
      <c r="D75" s="229"/>
      <c r="E75" s="229"/>
    </row>
    <row r="76" spans="4:5" ht="18.75" customHeight="1" x14ac:dyDescent="0.25">
      <c r="D76" s="229"/>
      <c r="E76" s="229"/>
    </row>
    <row r="77" spans="4:5" ht="18.75" customHeight="1" x14ac:dyDescent="0.25">
      <c r="D77" s="229"/>
      <c r="E77" s="229"/>
    </row>
    <row r="78" spans="4:5" ht="18.75" customHeight="1" x14ac:dyDescent="0.25">
      <c r="D78" s="229"/>
      <c r="E78" s="229"/>
    </row>
    <row r="79" spans="4:5" x14ac:dyDescent="0.25">
      <c r="D79" s="229"/>
      <c r="E79" s="229"/>
    </row>
    <row r="80" spans="4:5" x14ac:dyDescent="0.25">
      <c r="D80" s="229"/>
      <c r="E80" s="229"/>
    </row>
    <row r="81" spans="4:5" x14ac:dyDescent="0.25">
      <c r="D81" s="229"/>
      <c r="E81" s="229"/>
    </row>
    <row r="82" spans="4:5" x14ac:dyDescent="0.25">
      <c r="D82" s="229"/>
      <c r="E82" s="229"/>
    </row>
    <row r="83" spans="4:5" x14ac:dyDescent="0.25">
      <c r="D83" s="229"/>
      <c r="E83" s="229"/>
    </row>
    <row r="84" spans="4:5" x14ac:dyDescent="0.25">
      <c r="D84" s="229"/>
      <c r="E84" s="229"/>
    </row>
    <row r="85" spans="4:5" x14ac:dyDescent="0.25">
      <c r="D85" s="229"/>
      <c r="E85" s="229"/>
    </row>
    <row r="86" spans="4:5" x14ac:dyDescent="0.25">
      <c r="D86" s="229"/>
      <c r="E86" s="229"/>
    </row>
    <row r="87" spans="4:5" x14ac:dyDescent="0.25">
      <c r="D87" s="229"/>
      <c r="E87" s="229"/>
    </row>
    <row r="88" spans="4:5" x14ac:dyDescent="0.25">
      <c r="D88" s="229"/>
      <c r="E88" s="229"/>
    </row>
  </sheetData>
  <pageMargins left="0.75" right="0.75" top="1" bottom="1" header="0.5" footer="0.5"/>
  <pageSetup orientation="portrait" horizontalDpi="4294967292" verticalDpi="4294967292" r:id="rId1"/>
  <drawing r:id="rId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D8124-1722-4FF8-AE93-B66F1B6A6C90}">
  <sheetPr>
    <tabColor rgb="FFD6DCE4"/>
  </sheetPr>
  <dimension ref="B1:H81"/>
  <sheetViews>
    <sheetView showGridLines="0" topLeftCell="B61" zoomScale="125" zoomScaleNormal="125" zoomScalePageLayoutView="125" workbookViewId="0">
      <selection activeCell="B63" sqref="B63"/>
    </sheetView>
  </sheetViews>
  <sheetFormatPr defaultColWidth="8.85546875" defaultRowHeight="14.1" customHeight="1" x14ac:dyDescent="0.25"/>
  <cols>
    <col min="1" max="1" width="2.7109375" style="4" customWidth="1"/>
    <col min="2" max="2" width="6.7109375" style="49" customWidth="1"/>
    <col min="3" max="3" width="33" style="4" customWidth="1"/>
    <col min="4" max="5" width="14.7109375" style="4" customWidth="1"/>
    <col min="6" max="8" width="13.140625" style="4" hidden="1" customWidth="1"/>
    <col min="9" max="16384" width="8.85546875" style="4"/>
  </cols>
  <sheetData>
    <row r="1" spans="2:8" s="9" customFormat="1" ht="9.75" customHeight="1" x14ac:dyDescent="0.25">
      <c r="B1" s="80"/>
    </row>
    <row r="2" spans="2:8" s="20" customFormat="1" ht="29.1" customHeight="1" x14ac:dyDescent="0.25">
      <c r="B2" s="50" t="s">
        <v>1001</v>
      </c>
    </row>
    <row r="3" spans="2:8" s="3" customFormat="1" ht="14.25" customHeight="1" x14ac:dyDescent="0.25">
      <c r="B3" s="256" t="s">
        <v>13</v>
      </c>
      <c r="C3" s="323" t="s">
        <v>1002</v>
      </c>
      <c r="D3" s="323">
        <v>2014</v>
      </c>
      <c r="E3" s="323" t="s">
        <v>1003</v>
      </c>
      <c r="F3" s="323" t="s">
        <v>1004</v>
      </c>
      <c r="G3" s="324"/>
      <c r="H3" s="324"/>
    </row>
    <row r="4" spans="2:8" s="3" customFormat="1" ht="14.25" customHeight="1" x14ac:dyDescent="0.25">
      <c r="B4" s="51">
        <v>1</v>
      </c>
      <c r="C4" s="21">
        <v>0.625</v>
      </c>
      <c r="D4" s="22">
        <v>16</v>
      </c>
      <c r="E4" s="22">
        <v>18.5</v>
      </c>
      <c r="F4" s="31">
        <v>16.25</v>
      </c>
      <c r="G4" s="23"/>
      <c r="H4" s="23"/>
    </row>
    <row r="5" spans="2:8" s="3" customFormat="1" ht="14.25" customHeight="1" x14ac:dyDescent="0.25">
      <c r="B5" s="51">
        <f t="shared" ref="B5:B68" si="0">+B4+1</f>
        <v>2</v>
      </c>
      <c r="C5" s="21">
        <v>0.75</v>
      </c>
      <c r="D5" s="22">
        <v>22</v>
      </c>
      <c r="E5" s="22">
        <v>25.4</v>
      </c>
      <c r="F5" s="31">
        <v>22.3</v>
      </c>
      <c r="G5" s="23"/>
      <c r="H5" s="23"/>
    </row>
    <row r="6" spans="2:8" s="3" customFormat="1" ht="14.25" customHeight="1" x14ac:dyDescent="0.25">
      <c r="B6" s="51">
        <f t="shared" si="0"/>
        <v>3</v>
      </c>
      <c r="C6" s="24">
        <v>1</v>
      </c>
      <c r="D6" s="22">
        <v>31</v>
      </c>
      <c r="E6" s="22">
        <v>35.799999999999997</v>
      </c>
      <c r="F6" s="31">
        <v>31.5</v>
      </c>
      <c r="G6" s="23"/>
      <c r="H6" s="23"/>
    </row>
    <row r="7" spans="2:8" s="3" customFormat="1" ht="14.25" customHeight="1" x14ac:dyDescent="0.25">
      <c r="B7" s="51">
        <f t="shared" si="0"/>
        <v>4</v>
      </c>
      <c r="C7" s="24">
        <v>1.5</v>
      </c>
      <c r="D7" s="22">
        <v>47.8</v>
      </c>
      <c r="E7" s="22">
        <v>55.3</v>
      </c>
      <c r="F7" s="31">
        <v>48.5</v>
      </c>
      <c r="G7" s="23"/>
      <c r="H7" s="23"/>
    </row>
    <row r="8" spans="2:8" s="3" customFormat="1" ht="14.25" customHeight="1" x14ac:dyDescent="0.25">
      <c r="B8" s="51">
        <f t="shared" si="0"/>
        <v>5</v>
      </c>
      <c r="C8" s="24">
        <v>2</v>
      </c>
      <c r="D8" s="22">
        <v>62</v>
      </c>
      <c r="E8" s="22">
        <v>71.7</v>
      </c>
      <c r="F8" s="31">
        <v>63</v>
      </c>
      <c r="G8" s="23"/>
      <c r="H8" s="23"/>
    </row>
    <row r="9" spans="2:8" s="3" customFormat="1" ht="14.25" customHeight="1" x14ac:dyDescent="0.25">
      <c r="B9" s="51">
        <f t="shared" si="0"/>
        <v>6</v>
      </c>
      <c r="C9" s="24">
        <v>3</v>
      </c>
      <c r="D9" s="22">
        <v>149.5</v>
      </c>
      <c r="E9" s="22">
        <v>172.9</v>
      </c>
      <c r="F9" s="31">
        <v>151.80000000000001</v>
      </c>
      <c r="G9" s="23"/>
      <c r="H9" s="23"/>
    </row>
    <row r="10" spans="2:8" s="3" customFormat="1" ht="14.25" customHeight="1" x14ac:dyDescent="0.25">
      <c r="B10" s="51">
        <f t="shared" si="0"/>
        <v>7</v>
      </c>
      <c r="C10" s="24">
        <v>4</v>
      </c>
      <c r="D10" s="22">
        <v>222.4</v>
      </c>
      <c r="E10" s="22">
        <v>257.2</v>
      </c>
      <c r="F10" s="31">
        <v>225.9</v>
      </c>
      <c r="G10" s="23"/>
      <c r="H10" s="23"/>
    </row>
    <row r="11" spans="2:8" s="3" customFormat="1" ht="14.25" customHeight="1" x14ac:dyDescent="0.25">
      <c r="B11" s="51">
        <f t="shared" si="0"/>
        <v>8</v>
      </c>
      <c r="C11" s="24">
        <v>6</v>
      </c>
      <c r="D11" s="22">
        <v>247</v>
      </c>
      <c r="E11" s="22">
        <v>285.60000000000002</v>
      </c>
      <c r="F11" s="31">
        <v>250.9</v>
      </c>
      <c r="G11" s="23"/>
      <c r="H11" s="23"/>
    </row>
    <row r="12" spans="2:8" s="3" customFormat="1" ht="14.25" customHeight="1" x14ac:dyDescent="0.25">
      <c r="B12" s="51">
        <f t="shared" si="0"/>
        <v>9</v>
      </c>
      <c r="C12" s="24">
        <v>8</v>
      </c>
      <c r="D12" s="22">
        <v>474</v>
      </c>
      <c r="E12" s="22">
        <v>548.1</v>
      </c>
      <c r="F12" s="31">
        <v>481.4</v>
      </c>
      <c r="G12" s="23"/>
      <c r="H12" s="23"/>
    </row>
    <row r="13" spans="2:8" s="3" customFormat="1" ht="14.25" customHeight="1" x14ac:dyDescent="0.25">
      <c r="B13" s="51">
        <f t="shared" si="0"/>
        <v>10</v>
      </c>
      <c r="C13" s="24">
        <v>10</v>
      </c>
      <c r="D13" s="22">
        <v>610</v>
      </c>
      <c r="E13" s="22">
        <v>705.3</v>
      </c>
      <c r="F13" s="31">
        <v>619.5</v>
      </c>
      <c r="G13" s="23"/>
      <c r="H13" s="23"/>
    </row>
    <row r="14" spans="2:8" s="3" customFormat="1" ht="14.25" customHeight="1" x14ac:dyDescent="0.25">
      <c r="B14" s="51">
        <f t="shared" si="0"/>
        <v>11</v>
      </c>
      <c r="C14" s="24">
        <v>12</v>
      </c>
      <c r="D14" s="22">
        <v>751</v>
      </c>
      <c r="E14" s="22">
        <v>868.3</v>
      </c>
      <c r="F14" s="31">
        <v>762.7</v>
      </c>
      <c r="G14" s="23"/>
      <c r="H14" s="23"/>
    </row>
    <row r="15" spans="2:8" s="3" customFormat="1" ht="14.25" customHeight="1" x14ac:dyDescent="0.25">
      <c r="B15" s="51">
        <f t="shared" si="0"/>
        <v>12</v>
      </c>
      <c r="C15" s="23"/>
      <c r="D15" s="23"/>
      <c r="E15" s="23"/>
      <c r="F15" s="23"/>
      <c r="G15" s="23"/>
      <c r="H15" s="23"/>
    </row>
    <row r="16" spans="2:8" s="3" customFormat="1" ht="14.25" customHeight="1" x14ac:dyDescent="0.25">
      <c r="B16" s="51">
        <f t="shared" si="0"/>
        <v>13</v>
      </c>
      <c r="C16" s="52" t="s">
        <v>1005</v>
      </c>
      <c r="D16" s="23"/>
      <c r="E16" s="23"/>
      <c r="F16" s="23"/>
      <c r="G16" s="23"/>
      <c r="H16" s="23"/>
    </row>
    <row r="17" spans="2:8" s="3" customFormat="1" ht="14.25" customHeight="1" x14ac:dyDescent="0.25">
      <c r="B17" s="256">
        <f t="shared" si="0"/>
        <v>14</v>
      </c>
      <c r="C17" s="323" t="s">
        <v>1006</v>
      </c>
      <c r="D17" s="323" t="s">
        <v>470</v>
      </c>
      <c r="E17" s="323" t="s">
        <v>471</v>
      </c>
      <c r="F17" s="323" t="s">
        <v>472</v>
      </c>
      <c r="G17" s="324"/>
      <c r="H17" s="324"/>
    </row>
    <row r="18" spans="2:8" s="3" customFormat="1" ht="14.25" customHeight="1" x14ac:dyDescent="0.25">
      <c r="B18" s="51">
        <f t="shared" si="0"/>
        <v>15</v>
      </c>
      <c r="C18" s="23" t="s">
        <v>1007</v>
      </c>
      <c r="D18" s="22">
        <v>4.4349999999999996</v>
      </c>
      <c r="E18" s="22">
        <v>4.1109999999999998</v>
      </c>
      <c r="F18" s="22">
        <v>4.1109999999999998</v>
      </c>
      <c r="G18" s="23"/>
      <c r="H18" s="23"/>
    </row>
    <row r="19" spans="2:8" s="3" customFormat="1" ht="14.25" customHeight="1" x14ac:dyDescent="0.25">
      <c r="B19" s="51">
        <f t="shared" si="0"/>
        <v>16</v>
      </c>
      <c r="C19" s="23" t="s">
        <v>1008</v>
      </c>
      <c r="D19" s="22">
        <v>4.4349999999999996</v>
      </c>
      <c r="E19" s="22">
        <v>2.944</v>
      </c>
      <c r="F19" s="22">
        <v>2.944</v>
      </c>
      <c r="G19" s="23"/>
      <c r="H19" s="23"/>
    </row>
    <row r="20" spans="2:8" s="3" customFormat="1" ht="14.25" customHeight="1" x14ac:dyDescent="0.25">
      <c r="B20" s="51">
        <f t="shared" si="0"/>
        <v>17</v>
      </c>
      <c r="C20" s="23" t="s">
        <v>1009</v>
      </c>
      <c r="D20" s="22">
        <v>4.4349999999999996</v>
      </c>
      <c r="E20" s="22">
        <v>2.294</v>
      </c>
      <c r="F20" s="22">
        <v>2.5880000000000001</v>
      </c>
      <c r="G20" s="23"/>
      <c r="H20" s="23"/>
    </row>
    <row r="21" spans="2:8" s="3" customFormat="1" ht="14.25" customHeight="1" x14ac:dyDescent="0.25">
      <c r="B21" s="51">
        <f t="shared" si="0"/>
        <v>18</v>
      </c>
      <c r="C21" s="23" t="s">
        <v>1010</v>
      </c>
      <c r="D21" s="22">
        <v>4.4349999999999996</v>
      </c>
      <c r="E21" s="22">
        <v>2.294</v>
      </c>
      <c r="F21" s="22">
        <v>2.2280000000000002</v>
      </c>
      <c r="G21" s="23"/>
      <c r="H21" s="23"/>
    </row>
    <row r="22" spans="2:8" s="3" customFormat="1" ht="14.25" customHeight="1" x14ac:dyDescent="0.25">
      <c r="B22" s="51">
        <f t="shared" si="0"/>
        <v>19</v>
      </c>
      <c r="C22" s="26"/>
      <c r="D22" s="23"/>
      <c r="E22" s="23"/>
      <c r="F22" s="23"/>
      <c r="G22" s="23"/>
      <c r="H22" s="23"/>
    </row>
    <row r="23" spans="2:8" s="3" customFormat="1" ht="14.25" customHeight="1" x14ac:dyDescent="0.25">
      <c r="B23" s="256">
        <f t="shared" si="0"/>
        <v>20</v>
      </c>
      <c r="C23" s="323" t="s">
        <v>1011</v>
      </c>
      <c r="D23" s="323" t="s">
        <v>470</v>
      </c>
      <c r="E23" s="323" t="s">
        <v>471</v>
      </c>
      <c r="F23" s="323" t="s">
        <v>472</v>
      </c>
      <c r="G23" s="324"/>
      <c r="H23" s="324"/>
    </row>
    <row r="24" spans="2:8" s="3" customFormat="1" ht="14.25" customHeight="1" x14ac:dyDescent="0.25">
      <c r="B24" s="51">
        <f t="shared" si="0"/>
        <v>21</v>
      </c>
      <c r="C24" s="23" t="s">
        <v>1007</v>
      </c>
      <c r="D24" s="22">
        <v>5.0910000000000002</v>
      </c>
      <c r="E24" s="22">
        <v>4.6429999999999998</v>
      </c>
      <c r="F24" s="22">
        <v>4.6429999999999998</v>
      </c>
      <c r="G24" s="23"/>
      <c r="H24" s="23"/>
    </row>
    <row r="25" spans="2:8" s="3" customFormat="1" ht="14.25" customHeight="1" x14ac:dyDescent="0.25">
      <c r="B25" s="51">
        <f t="shared" si="0"/>
        <v>22</v>
      </c>
      <c r="C25" s="23" t="s">
        <v>1008</v>
      </c>
      <c r="D25" s="22">
        <v>5.0910000000000002</v>
      </c>
      <c r="E25" s="22">
        <v>3.3250000000000002</v>
      </c>
      <c r="F25" s="22">
        <v>3.3250000000000002</v>
      </c>
      <c r="G25" s="23"/>
      <c r="H25" s="23"/>
    </row>
    <row r="26" spans="2:8" s="3" customFormat="1" ht="14.25" customHeight="1" x14ac:dyDescent="0.25">
      <c r="B26" s="51">
        <f t="shared" si="0"/>
        <v>23</v>
      </c>
      <c r="C26" s="23" t="s">
        <v>1009</v>
      </c>
      <c r="D26" s="22">
        <v>5.0910000000000002</v>
      </c>
      <c r="E26" s="22">
        <v>2.5910000000000002</v>
      </c>
      <c r="F26" s="22">
        <v>2.95</v>
      </c>
      <c r="G26" s="23"/>
      <c r="H26" s="23"/>
    </row>
    <row r="27" spans="2:8" s="3" customFormat="1" ht="14.25" customHeight="1" x14ac:dyDescent="0.25">
      <c r="B27" s="51">
        <f t="shared" si="0"/>
        <v>24</v>
      </c>
      <c r="C27" s="23" t="s">
        <v>1010</v>
      </c>
      <c r="D27" s="22">
        <v>5.0910000000000002</v>
      </c>
      <c r="E27" s="22">
        <v>2.5910000000000002</v>
      </c>
      <c r="F27" s="22">
        <v>2.5299999999999998</v>
      </c>
      <c r="G27" s="23"/>
      <c r="H27" s="23"/>
    </row>
    <row r="28" spans="2:8" s="3" customFormat="1" ht="14.25" customHeight="1" x14ac:dyDescent="0.25">
      <c r="B28" s="51">
        <f t="shared" si="0"/>
        <v>25</v>
      </c>
      <c r="C28" s="23"/>
      <c r="D28" s="23"/>
      <c r="E28" s="23"/>
      <c r="F28" s="23"/>
      <c r="G28" s="23"/>
      <c r="H28" s="23"/>
    </row>
    <row r="29" spans="2:8" s="3" customFormat="1" ht="14.25" customHeight="1" x14ac:dyDescent="0.25">
      <c r="B29" s="256">
        <f t="shared" si="0"/>
        <v>26</v>
      </c>
      <c r="C29" s="323" t="s">
        <v>1012</v>
      </c>
      <c r="D29" s="323" t="s">
        <v>470</v>
      </c>
      <c r="E29" s="323" t="s">
        <v>471</v>
      </c>
      <c r="F29" s="323" t="s">
        <v>472</v>
      </c>
      <c r="G29" s="324"/>
      <c r="H29" s="324"/>
    </row>
    <row r="30" spans="2:8" s="3" customFormat="1" ht="14.25" customHeight="1" x14ac:dyDescent="0.25">
      <c r="B30" s="51">
        <f t="shared" si="0"/>
        <v>27</v>
      </c>
      <c r="C30" s="23" t="s">
        <v>1007</v>
      </c>
      <c r="D30" s="31">
        <v>5.0119999999999996</v>
      </c>
      <c r="E30" s="31">
        <v>4.5540000000000003</v>
      </c>
      <c r="F30" s="31">
        <v>4.5540000000000003</v>
      </c>
      <c r="G30" s="23"/>
      <c r="H30" s="23"/>
    </row>
    <row r="31" spans="2:8" s="3" customFormat="1" ht="14.25" customHeight="1" x14ac:dyDescent="0.25">
      <c r="B31" s="51">
        <f t="shared" si="0"/>
        <v>28</v>
      </c>
      <c r="C31" s="23" t="s">
        <v>1008</v>
      </c>
      <c r="D31" s="31">
        <v>5.0119999999999996</v>
      </c>
      <c r="E31" s="31">
        <v>3.2610000000000001</v>
      </c>
      <c r="F31" s="31">
        <v>3.2610000000000001</v>
      </c>
      <c r="G31" s="23"/>
      <c r="H31" s="23"/>
    </row>
    <row r="32" spans="2:8" s="3" customFormat="1" ht="14.25" customHeight="1" x14ac:dyDescent="0.25">
      <c r="B32" s="51">
        <f t="shared" si="0"/>
        <v>29</v>
      </c>
      <c r="C32" s="23" t="s">
        <v>1009</v>
      </c>
      <c r="D32" s="31">
        <v>5.0119999999999996</v>
      </c>
      <c r="E32" s="31">
        <v>2.5409999999999999</v>
      </c>
      <c r="F32" s="31">
        <v>2.831</v>
      </c>
      <c r="G32" s="23"/>
      <c r="H32" s="23"/>
    </row>
    <row r="33" spans="2:8" s="3" customFormat="1" ht="14.25" customHeight="1" x14ac:dyDescent="0.25">
      <c r="B33" s="51">
        <f t="shared" si="0"/>
        <v>30</v>
      </c>
      <c r="C33" s="23" t="s">
        <v>1010</v>
      </c>
      <c r="D33" s="31">
        <v>5.0119999999999996</v>
      </c>
      <c r="E33" s="31">
        <v>2.5409999999999999</v>
      </c>
      <c r="F33" s="31">
        <v>2.4369999999999998</v>
      </c>
      <c r="G33" s="23"/>
      <c r="H33" s="23"/>
    </row>
    <row r="34" spans="2:8" s="3" customFormat="1" ht="14.25" customHeight="1" x14ac:dyDescent="0.25">
      <c r="B34" s="51">
        <f t="shared" si="0"/>
        <v>31</v>
      </c>
      <c r="C34" s="23"/>
      <c r="D34" s="23"/>
      <c r="E34" s="23"/>
      <c r="F34" s="23"/>
      <c r="G34" s="23"/>
      <c r="H34" s="23"/>
    </row>
    <row r="35" spans="2:8" s="3" customFormat="1" ht="14.25" customHeight="1" x14ac:dyDescent="0.25">
      <c r="B35" s="51">
        <f t="shared" si="0"/>
        <v>32</v>
      </c>
      <c r="C35" s="52" t="s">
        <v>1013</v>
      </c>
      <c r="D35" s="23"/>
      <c r="E35" s="23"/>
      <c r="F35" s="23"/>
      <c r="G35" s="23"/>
      <c r="H35" s="23"/>
    </row>
    <row r="36" spans="2:8" s="3" customFormat="1" ht="14.25" customHeight="1" x14ac:dyDescent="0.25">
      <c r="B36" s="256">
        <f t="shared" si="0"/>
        <v>33</v>
      </c>
      <c r="C36" s="325" t="s">
        <v>1006</v>
      </c>
      <c r="D36" s="323" t="s">
        <v>470</v>
      </c>
      <c r="E36" s="323" t="s">
        <v>471</v>
      </c>
      <c r="F36" s="323" t="s">
        <v>472</v>
      </c>
      <c r="G36" s="324"/>
      <c r="H36" s="324"/>
    </row>
    <row r="37" spans="2:8" s="3" customFormat="1" ht="14.25" customHeight="1" x14ac:dyDescent="0.25">
      <c r="B37" s="51">
        <f t="shared" si="0"/>
        <v>34</v>
      </c>
      <c r="C37" s="27" t="s">
        <v>1007</v>
      </c>
      <c r="D37" s="22">
        <v>7.3209999999999997</v>
      </c>
      <c r="E37" s="22">
        <v>6.8280000000000003</v>
      </c>
      <c r="F37" s="22">
        <v>6.8280000000000003</v>
      </c>
      <c r="G37" s="23"/>
      <c r="H37" s="23"/>
    </row>
    <row r="38" spans="2:8" s="3" customFormat="1" ht="14.25" customHeight="1" x14ac:dyDescent="0.25">
      <c r="B38" s="51">
        <f t="shared" si="0"/>
        <v>35</v>
      </c>
      <c r="C38" s="27" t="s">
        <v>1008</v>
      </c>
      <c r="D38" s="22">
        <v>7.3209999999999997</v>
      </c>
      <c r="E38" s="22">
        <v>5.8010000000000002</v>
      </c>
      <c r="F38" s="22">
        <v>5.8010000000000002</v>
      </c>
      <c r="G38" s="23"/>
      <c r="H38" s="23"/>
    </row>
    <row r="39" spans="2:8" s="3" customFormat="1" ht="14.25" customHeight="1" x14ac:dyDescent="0.25">
      <c r="B39" s="51">
        <f t="shared" si="0"/>
        <v>36</v>
      </c>
      <c r="C39" s="27" t="s">
        <v>1009</v>
      </c>
      <c r="D39" s="22">
        <v>7.3209999999999997</v>
      </c>
      <c r="E39" s="22">
        <v>3.1240000000000001</v>
      </c>
      <c r="F39" s="22">
        <v>5.2569999999999997</v>
      </c>
      <c r="G39" s="23"/>
      <c r="H39" s="23"/>
    </row>
    <row r="40" spans="2:8" s="3" customFormat="1" ht="14.25" customHeight="1" x14ac:dyDescent="0.25">
      <c r="B40" s="51">
        <f t="shared" si="0"/>
        <v>37</v>
      </c>
      <c r="C40" s="27" t="s">
        <v>1010</v>
      </c>
      <c r="D40" s="22">
        <v>7.3209999999999997</v>
      </c>
      <c r="E40" s="22">
        <v>3.1240000000000001</v>
      </c>
      <c r="F40" s="22">
        <v>3.226</v>
      </c>
      <c r="G40" s="23"/>
      <c r="H40" s="23"/>
    </row>
    <row r="41" spans="2:8" s="3" customFormat="1" ht="14.25" customHeight="1" x14ac:dyDescent="0.25">
      <c r="B41" s="51">
        <f t="shared" si="0"/>
        <v>38</v>
      </c>
      <c r="C41" s="28"/>
      <c r="D41" s="27"/>
      <c r="E41" s="27"/>
      <c r="F41" s="27"/>
      <c r="G41" s="23"/>
      <c r="H41" s="23"/>
    </row>
    <row r="42" spans="2:8" s="3" customFormat="1" ht="14.25" customHeight="1" x14ac:dyDescent="0.25">
      <c r="B42" s="256">
        <f t="shared" si="0"/>
        <v>39</v>
      </c>
      <c r="C42" s="325" t="s">
        <v>1014</v>
      </c>
      <c r="D42" s="323" t="s">
        <v>470</v>
      </c>
      <c r="E42" s="323" t="s">
        <v>471</v>
      </c>
      <c r="F42" s="323" t="s">
        <v>472</v>
      </c>
      <c r="G42" s="324"/>
      <c r="H42" s="324"/>
    </row>
    <row r="43" spans="2:8" s="3" customFormat="1" ht="14.25" customHeight="1" x14ac:dyDescent="0.25">
      <c r="B43" s="51">
        <f t="shared" si="0"/>
        <v>40</v>
      </c>
      <c r="C43" s="27" t="s">
        <v>1007</v>
      </c>
      <c r="D43" s="22">
        <v>8.3000000000000007</v>
      </c>
      <c r="E43" s="22">
        <v>7.6740000000000004</v>
      </c>
      <c r="F43" s="22">
        <v>7.6740000000000004</v>
      </c>
      <c r="G43" s="23"/>
      <c r="H43" s="23"/>
    </row>
    <row r="44" spans="2:8" s="3" customFormat="1" ht="14.25" customHeight="1" x14ac:dyDescent="0.25">
      <c r="B44" s="51">
        <f t="shared" si="0"/>
        <v>41</v>
      </c>
      <c r="C44" s="27" t="s">
        <v>1008</v>
      </c>
      <c r="D44" s="22">
        <v>8.3000000000000007</v>
      </c>
      <c r="E44" s="22">
        <v>6.52</v>
      </c>
      <c r="F44" s="22">
        <v>6.52</v>
      </c>
      <c r="G44" s="23"/>
      <c r="H44" s="23"/>
    </row>
    <row r="45" spans="2:8" s="3" customFormat="1" ht="14.25" customHeight="1" x14ac:dyDescent="0.25">
      <c r="B45" s="51">
        <f t="shared" si="0"/>
        <v>42</v>
      </c>
      <c r="C45" s="27" t="s">
        <v>1009</v>
      </c>
      <c r="D45" s="22">
        <v>8.3000000000000007</v>
      </c>
      <c r="E45" s="22">
        <v>3.5110000000000001</v>
      </c>
      <c r="F45" s="22">
        <v>6.2169999999999996</v>
      </c>
      <c r="G45" s="23"/>
      <c r="H45" s="23"/>
    </row>
    <row r="46" spans="2:8" s="3" customFormat="1" ht="14.25" customHeight="1" x14ac:dyDescent="0.25">
      <c r="B46" s="51">
        <f t="shared" si="0"/>
        <v>43</v>
      </c>
      <c r="C46" s="27" t="s">
        <v>1010</v>
      </c>
      <c r="D46" s="22">
        <v>8.3000000000000007</v>
      </c>
      <c r="E46" s="22">
        <v>3.5110000000000001</v>
      </c>
      <c r="F46" s="22">
        <v>3.8149999999999999</v>
      </c>
      <c r="G46" s="23"/>
      <c r="H46" s="23"/>
    </row>
    <row r="47" spans="2:8" s="3" customFormat="1" ht="14.25" customHeight="1" x14ac:dyDescent="0.25">
      <c r="B47" s="51">
        <f t="shared" si="0"/>
        <v>44</v>
      </c>
      <c r="C47" s="27"/>
      <c r="D47" s="22"/>
      <c r="E47" s="22"/>
      <c r="F47" s="22"/>
      <c r="G47" s="23"/>
      <c r="H47" s="23"/>
    </row>
    <row r="48" spans="2:8" s="3" customFormat="1" ht="14.25" customHeight="1" x14ac:dyDescent="0.25">
      <c r="B48" s="256">
        <f t="shared" si="0"/>
        <v>45</v>
      </c>
      <c r="C48" s="325" t="s">
        <v>1012</v>
      </c>
      <c r="D48" s="323" t="s">
        <v>470</v>
      </c>
      <c r="E48" s="323" t="s">
        <v>471</v>
      </c>
      <c r="F48" s="323" t="s">
        <v>472</v>
      </c>
      <c r="G48" s="324"/>
      <c r="H48" s="324"/>
    </row>
    <row r="49" spans="2:8" s="3" customFormat="1" ht="14.25" customHeight="1" x14ac:dyDescent="0.25">
      <c r="B49" s="51">
        <f t="shared" si="0"/>
        <v>46</v>
      </c>
      <c r="C49" s="27" t="s">
        <v>1007</v>
      </c>
      <c r="D49" s="22">
        <v>8.1110000000000007</v>
      </c>
      <c r="E49" s="22">
        <v>7.4009999999999998</v>
      </c>
      <c r="F49" s="22">
        <v>7.4009999999999998</v>
      </c>
      <c r="G49" s="23"/>
      <c r="H49" s="23"/>
    </row>
    <row r="50" spans="2:8" s="3" customFormat="1" ht="14.25" customHeight="1" x14ac:dyDescent="0.25">
      <c r="B50" s="51">
        <f t="shared" si="0"/>
        <v>47</v>
      </c>
      <c r="C50" s="27" t="s">
        <v>1008</v>
      </c>
      <c r="D50" s="22">
        <v>8.1110000000000007</v>
      </c>
      <c r="E50" s="22">
        <v>6.2880000000000003</v>
      </c>
      <c r="F50" s="22">
        <v>6.2880000000000003</v>
      </c>
      <c r="G50" s="23"/>
      <c r="H50" s="23"/>
    </row>
    <row r="51" spans="2:8" s="3" customFormat="1" ht="14.25" customHeight="1" x14ac:dyDescent="0.25">
      <c r="B51" s="51">
        <f t="shared" si="0"/>
        <v>48</v>
      </c>
      <c r="C51" s="27" t="s">
        <v>1009</v>
      </c>
      <c r="D51" s="22">
        <v>8.1110000000000007</v>
      </c>
      <c r="E51" s="22">
        <v>3.3860000000000001</v>
      </c>
      <c r="F51" s="22">
        <v>5.8239999999999998</v>
      </c>
      <c r="G51" s="23"/>
      <c r="H51" s="23"/>
    </row>
    <row r="52" spans="2:8" s="3" customFormat="1" ht="14.25" customHeight="1" x14ac:dyDescent="0.25">
      <c r="B52" s="51">
        <f t="shared" si="0"/>
        <v>49</v>
      </c>
      <c r="C52" s="27" t="s">
        <v>1010</v>
      </c>
      <c r="D52" s="22">
        <v>8.1110000000000007</v>
      </c>
      <c r="E52" s="22">
        <v>3.3860000000000001</v>
      </c>
      <c r="F52" s="31">
        <v>3.5739999999999998</v>
      </c>
      <c r="G52" s="23"/>
      <c r="H52" s="23"/>
    </row>
    <row r="53" spans="2:8" s="3" customFormat="1" ht="14.25" customHeight="1" x14ac:dyDescent="0.25">
      <c r="B53" s="51">
        <f t="shared" si="0"/>
        <v>50</v>
      </c>
      <c r="C53" s="27"/>
      <c r="D53" s="23"/>
      <c r="E53" s="23"/>
      <c r="F53" s="23"/>
      <c r="G53" s="23"/>
      <c r="H53" s="23"/>
    </row>
    <row r="54" spans="2:8" s="3" customFormat="1" ht="14.25" customHeight="1" x14ac:dyDescent="0.25">
      <c r="B54" s="256">
        <f t="shared" si="0"/>
        <v>51</v>
      </c>
      <c r="C54" s="323" t="s">
        <v>1015</v>
      </c>
      <c r="D54" s="323" t="s">
        <v>1016</v>
      </c>
      <c r="E54" s="323" t="s">
        <v>1017</v>
      </c>
      <c r="F54" s="323">
        <v>2014</v>
      </c>
      <c r="G54" s="323" t="s">
        <v>1003</v>
      </c>
      <c r="H54" s="323" t="s">
        <v>1018</v>
      </c>
    </row>
    <row r="55" spans="2:8" s="3" customFormat="1" ht="14.25" customHeight="1" x14ac:dyDescent="0.25">
      <c r="B55" s="51">
        <f t="shared" si="0"/>
        <v>52</v>
      </c>
      <c r="C55" s="29" t="s">
        <v>1019</v>
      </c>
      <c r="D55" s="25" t="s">
        <v>1020</v>
      </c>
      <c r="E55" s="53" t="s">
        <v>1021</v>
      </c>
      <c r="F55" s="31">
        <v>50</v>
      </c>
      <c r="G55" s="31">
        <v>62.5</v>
      </c>
      <c r="H55" s="31">
        <v>62.5</v>
      </c>
    </row>
    <row r="56" spans="2:8" s="3" customFormat="1" ht="14.25" customHeight="1" x14ac:dyDescent="0.25">
      <c r="B56" s="51">
        <f t="shared" si="0"/>
        <v>53</v>
      </c>
      <c r="C56" s="29"/>
      <c r="D56" s="25"/>
      <c r="E56" s="25"/>
      <c r="F56" s="31"/>
      <c r="G56" s="31"/>
      <c r="H56" s="31"/>
    </row>
    <row r="57" spans="2:8" s="3" customFormat="1" ht="14.25" customHeight="1" x14ac:dyDescent="0.25">
      <c r="B57" s="51">
        <f t="shared" si="0"/>
        <v>54</v>
      </c>
      <c r="C57" s="23" t="s">
        <v>1022</v>
      </c>
      <c r="D57" s="25" t="s">
        <v>1020</v>
      </c>
      <c r="E57" s="53" t="s">
        <v>470</v>
      </c>
      <c r="F57" s="31">
        <v>26.17</v>
      </c>
      <c r="G57" s="31">
        <v>32.71</v>
      </c>
      <c r="H57" s="31">
        <v>32.71</v>
      </c>
    </row>
    <row r="58" spans="2:8" s="3" customFormat="1" ht="14.25" customHeight="1" x14ac:dyDescent="0.25">
      <c r="B58" s="51">
        <f t="shared" si="0"/>
        <v>55</v>
      </c>
      <c r="C58" s="23"/>
      <c r="D58" s="25" t="s">
        <v>1020</v>
      </c>
      <c r="E58" s="53" t="s">
        <v>1023</v>
      </c>
      <c r="F58" s="31">
        <v>32.33</v>
      </c>
      <c r="G58" s="31">
        <v>40.42</v>
      </c>
      <c r="H58" s="31">
        <v>40.42</v>
      </c>
    </row>
    <row r="59" spans="2:8" s="3" customFormat="1" ht="14.25" customHeight="1" x14ac:dyDescent="0.25">
      <c r="B59" s="51">
        <f t="shared" si="0"/>
        <v>56</v>
      </c>
      <c r="C59" s="23"/>
      <c r="D59" s="25"/>
      <c r="E59" s="53"/>
      <c r="F59" s="31"/>
      <c r="G59" s="31"/>
      <c r="H59" s="31"/>
    </row>
    <row r="60" spans="2:8" s="3" customFormat="1" ht="14.25" customHeight="1" x14ac:dyDescent="0.25">
      <c r="B60" s="51">
        <f t="shared" si="0"/>
        <v>57</v>
      </c>
      <c r="C60" s="29" t="s">
        <v>1024</v>
      </c>
      <c r="D60" s="25" t="s">
        <v>1025</v>
      </c>
      <c r="E60" s="53" t="s">
        <v>1026</v>
      </c>
      <c r="F60" s="31">
        <v>50</v>
      </c>
      <c r="G60" s="31">
        <v>62.5</v>
      </c>
      <c r="H60" s="31">
        <v>62.5</v>
      </c>
    </row>
    <row r="61" spans="2:8" s="3" customFormat="1" ht="14.25" customHeight="1" x14ac:dyDescent="0.25">
      <c r="B61" s="51">
        <f t="shared" si="0"/>
        <v>58</v>
      </c>
      <c r="C61" s="29"/>
      <c r="D61" s="25" t="s">
        <v>1025</v>
      </c>
      <c r="E61" s="53" t="s">
        <v>1027</v>
      </c>
      <c r="F61" s="32" t="s">
        <v>1028</v>
      </c>
      <c r="G61" s="32" t="s">
        <v>1029</v>
      </c>
      <c r="H61" s="32" t="s">
        <v>1029</v>
      </c>
    </row>
    <row r="62" spans="2:8" s="3" customFormat="1" ht="14.25" customHeight="1" x14ac:dyDescent="0.25">
      <c r="B62" s="51">
        <f t="shared" si="0"/>
        <v>59</v>
      </c>
      <c r="C62" s="29"/>
      <c r="D62" s="25"/>
      <c r="E62" s="30"/>
      <c r="F62" s="32"/>
      <c r="G62" s="32"/>
      <c r="H62" s="32"/>
    </row>
    <row r="63" spans="2:8" s="3" customFormat="1" ht="14.25" customHeight="1" x14ac:dyDescent="0.25">
      <c r="B63" s="256">
        <f t="shared" si="0"/>
        <v>60</v>
      </c>
      <c r="C63" s="323" t="s">
        <v>1030</v>
      </c>
      <c r="D63" s="323" t="s">
        <v>1031</v>
      </c>
      <c r="E63" s="323" t="s">
        <v>1032</v>
      </c>
      <c r="F63" s="324"/>
      <c r="G63" s="324"/>
      <c r="H63" s="324"/>
    </row>
    <row r="64" spans="2:8" s="3" customFormat="1" ht="14.25" customHeight="1" x14ac:dyDescent="0.25">
      <c r="B64" s="51">
        <f t="shared" si="0"/>
        <v>61</v>
      </c>
      <c r="C64" s="23" t="s">
        <v>1033</v>
      </c>
      <c r="D64" s="52" t="s">
        <v>369</v>
      </c>
      <c r="E64" s="52" t="s">
        <v>369</v>
      </c>
      <c r="F64" s="591"/>
      <c r="G64" s="591"/>
      <c r="H64" s="591"/>
    </row>
    <row r="65" spans="2:8" s="3" customFormat="1" ht="14.25" customHeight="1" x14ac:dyDescent="0.25">
      <c r="B65" s="51">
        <f t="shared" si="0"/>
        <v>62</v>
      </c>
      <c r="C65" s="23" t="s">
        <v>1034</v>
      </c>
      <c r="D65" s="52" t="s">
        <v>369</v>
      </c>
      <c r="E65" s="52" t="s">
        <v>369</v>
      </c>
      <c r="F65" s="591"/>
      <c r="G65" s="591"/>
      <c r="H65" s="591"/>
    </row>
    <row r="66" spans="2:8" s="3" customFormat="1" ht="14.25" customHeight="1" x14ac:dyDescent="0.25">
      <c r="B66" s="51">
        <f t="shared" si="0"/>
        <v>63</v>
      </c>
      <c r="C66" s="23" t="s">
        <v>1035</v>
      </c>
      <c r="D66" s="52" t="s">
        <v>369</v>
      </c>
      <c r="E66" s="52" t="s">
        <v>369</v>
      </c>
      <c r="F66" s="591"/>
      <c r="G66" s="591"/>
      <c r="H66" s="591"/>
    </row>
    <row r="67" spans="2:8" s="3" customFormat="1" ht="14.25" customHeight="1" x14ac:dyDescent="0.25">
      <c r="B67" s="51">
        <f t="shared" si="0"/>
        <v>64</v>
      </c>
      <c r="C67" s="23"/>
      <c r="D67" s="52" t="s">
        <v>369</v>
      </c>
      <c r="E67" s="52" t="s">
        <v>369</v>
      </c>
      <c r="F67" s="591"/>
      <c r="G67" s="591"/>
      <c r="H67" s="591"/>
    </row>
    <row r="68" spans="2:8" s="3" customFormat="1" ht="14.25" customHeight="1" x14ac:dyDescent="0.25">
      <c r="B68" s="51">
        <f t="shared" si="0"/>
        <v>65</v>
      </c>
      <c r="C68" s="23" t="s">
        <v>1036</v>
      </c>
      <c r="D68" s="52" t="s">
        <v>369</v>
      </c>
      <c r="E68" s="52" t="s">
        <v>369</v>
      </c>
      <c r="F68" s="591"/>
      <c r="G68" s="591"/>
      <c r="H68" s="591"/>
    </row>
    <row r="69" spans="2:8" s="3" customFormat="1" ht="14.25" customHeight="1" x14ac:dyDescent="0.25">
      <c r="B69" s="51">
        <f t="shared" ref="B69:B78" si="1">+B68+1</f>
        <v>66</v>
      </c>
      <c r="C69" s="23" t="s">
        <v>1034</v>
      </c>
      <c r="D69" s="52" t="s">
        <v>369</v>
      </c>
      <c r="E69" s="52" t="s">
        <v>369</v>
      </c>
      <c r="F69" s="591"/>
      <c r="G69" s="591"/>
      <c r="H69" s="591"/>
    </row>
    <row r="70" spans="2:8" s="3" customFormat="1" ht="14.25" customHeight="1" x14ac:dyDescent="0.25">
      <c r="B70" s="51">
        <f t="shared" si="1"/>
        <v>67</v>
      </c>
      <c r="C70" s="23" t="s">
        <v>1035</v>
      </c>
      <c r="D70" s="52" t="s">
        <v>369</v>
      </c>
      <c r="E70" s="52" t="s">
        <v>369</v>
      </c>
      <c r="F70" s="591"/>
      <c r="G70" s="591"/>
      <c r="H70" s="591"/>
    </row>
    <row r="71" spans="2:8" s="3" customFormat="1" ht="14.25" customHeight="1" x14ac:dyDescent="0.25">
      <c r="B71" s="51">
        <f t="shared" si="1"/>
        <v>68</v>
      </c>
      <c r="C71" s="23"/>
      <c r="D71" s="52" t="s">
        <v>369</v>
      </c>
      <c r="E71" s="52" t="s">
        <v>369</v>
      </c>
      <c r="F71" s="591"/>
      <c r="G71" s="591"/>
      <c r="H71" s="591"/>
    </row>
    <row r="72" spans="2:8" s="3" customFormat="1" ht="14.25" customHeight="1" x14ac:dyDescent="0.25">
      <c r="B72" s="51">
        <f t="shared" si="1"/>
        <v>69</v>
      </c>
      <c r="C72" s="23" t="s">
        <v>1037</v>
      </c>
      <c r="D72" s="52" t="s">
        <v>369</v>
      </c>
      <c r="E72" s="52" t="s">
        <v>369</v>
      </c>
      <c r="F72" s="591"/>
      <c r="G72" s="591"/>
      <c r="H72" s="591"/>
    </row>
    <row r="73" spans="2:8" s="3" customFormat="1" ht="14.25" customHeight="1" x14ac:dyDescent="0.25">
      <c r="B73" s="51">
        <f t="shared" si="1"/>
        <v>70</v>
      </c>
      <c r="C73" s="23" t="s">
        <v>1034</v>
      </c>
      <c r="D73" s="52" t="s">
        <v>369</v>
      </c>
      <c r="E73" s="52" t="s">
        <v>369</v>
      </c>
      <c r="F73" s="591"/>
      <c r="G73" s="591"/>
      <c r="H73" s="591"/>
    </row>
    <row r="74" spans="2:8" s="3" customFormat="1" ht="14.25" customHeight="1" x14ac:dyDescent="0.25">
      <c r="B74" s="51">
        <f t="shared" si="1"/>
        <v>71</v>
      </c>
      <c r="C74" s="23" t="s">
        <v>1035</v>
      </c>
      <c r="D74" s="52" t="s">
        <v>369</v>
      </c>
      <c r="E74" s="52" t="s">
        <v>369</v>
      </c>
      <c r="F74" s="591"/>
      <c r="G74" s="591"/>
      <c r="H74" s="591"/>
    </row>
    <row r="75" spans="2:8" s="3" customFormat="1" ht="14.25" customHeight="1" x14ac:dyDescent="0.25">
      <c r="B75" s="51">
        <f t="shared" si="1"/>
        <v>72</v>
      </c>
      <c r="C75" s="23"/>
      <c r="D75" s="52" t="s">
        <v>369</v>
      </c>
      <c r="E75" s="52" t="s">
        <v>369</v>
      </c>
      <c r="F75" s="591"/>
      <c r="G75" s="591"/>
      <c r="H75" s="591"/>
    </row>
    <row r="76" spans="2:8" s="3" customFormat="1" ht="14.25" customHeight="1" x14ac:dyDescent="0.25">
      <c r="B76" s="51">
        <f>+B71+1</f>
        <v>69</v>
      </c>
      <c r="C76" s="23" t="s">
        <v>1038</v>
      </c>
      <c r="D76" s="52" t="s">
        <v>369</v>
      </c>
      <c r="E76" s="52" t="s">
        <v>369</v>
      </c>
      <c r="F76" s="591"/>
      <c r="G76" s="591"/>
      <c r="H76" s="591"/>
    </row>
    <row r="77" spans="2:8" s="3" customFormat="1" ht="14.25" customHeight="1" x14ac:dyDescent="0.25">
      <c r="B77" s="51">
        <f t="shared" si="1"/>
        <v>70</v>
      </c>
      <c r="C77" s="23" t="s">
        <v>1034</v>
      </c>
      <c r="D77" s="52" t="s">
        <v>369</v>
      </c>
      <c r="E77" s="52" t="s">
        <v>369</v>
      </c>
      <c r="F77" s="591"/>
      <c r="G77" s="591"/>
      <c r="H77" s="591"/>
    </row>
    <row r="78" spans="2:8" s="3" customFormat="1" ht="14.25" customHeight="1" x14ac:dyDescent="0.25">
      <c r="B78" s="51">
        <f t="shared" si="1"/>
        <v>71</v>
      </c>
      <c r="C78" s="23" t="s">
        <v>1035</v>
      </c>
      <c r="D78" s="52" t="s">
        <v>369</v>
      </c>
      <c r="E78" s="52" t="s">
        <v>369</v>
      </c>
      <c r="F78" s="591"/>
      <c r="G78" s="591"/>
      <c r="H78" s="591"/>
    </row>
    <row r="80" spans="2:8" ht="14.1" customHeight="1" x14ac:dyDescent="0.25">
      <c r="B80" s="49" t="s">
        <v>1039</v>
      </c>
    </row>
    <row r="81" spans="2:2" ht="14.1" customHeight="1" x14ac:dyDescent="0.25">
      <c r="B81" s="49" t="s">
        <v>12</v>
      </c>
    </row>
  </sheetData>
  <pageMargins left="0.7" right="0.7" top="0.75" bottom="0.75" header="0.3" footer="0.3"/>
  <pageSetup orientation="portrait" horizontalDpi="4294967292" verticalDpi="4294967292"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51"/>
  <sheetViews>
    <sheetView showGridLines="0" workbookViewId="0">
      <pane ySplit="6" topLeftCell="A7" activePane="bottomLeft" state="frozen"/>
      <selection pane="bottomLeft" activeCell="A2" sqref="A2:XFD2"/>
    </sheetView>
  </sheetViews>
  <sheetFormatPr defaultColWidth="8.85546875" defaultRowHeight="15" x14ac:dyDescent="0.25"/>
  <cols>
    <col min="1" max="1" width="43.42578125" style="4" hidden="1" customWidth="1"/>
    <col min="2" max="2" width="9.7109375" style="4" hidden="1" customWidth="1"/>
    <col min="3" max="4" width="9.140625" style="230" hidden="1" customWidth="1"/>
    <col min="5" max="6" width="9.140625" style="231" hidden="1" customWidth="1"/>
    <col min="7" max="9" width="9.140625" style="230" hidden="1" customWidth="1"/>
    <col min="10" max="10" width="10.42578125" style="230" hidden="1" customWidth="1"/>
    <col min="11" max="19" width="9.140625" style="230" hidden="1" customWidth="1"/>
    <col min="20" max="20" width="10.42578125" style="230" hidden="1" customWidth="1"/>
    <col min="21" max="21" width="10.28515625" style="230" hidden="1" customWidth="1"/>
    <col min="22" max="22" width="10.7109375" style="230" hidden="1" customWidth="1"/>
    <col min="23" max="24" width="9.140625" style="230" hidden="1" customWidth="1"/>
    <col min="25" max="25" width="0.140625" style="230" hidden="1" customWidth="1"/>
    <col min="26" max="26" width="9.140625" style="230" hidden="1" customWidth="1"/>
    <col min="27" max="27" width="9.7109375" style="4" hidden="1" customWidth="1"/>
    <col min="28" max="28" width="11" style="4" hidden="1" customWidth="1"/>
    <col min="29" max="29" width="10.42578125" style="231" hidden="1" customWidth="1"/>
    <col min="30" max="30" width="2.7109375" style="231" customWidth="1"/>
    <col min="31" max="32" width="44.7109375" style="4" customWidth="1"/>
    <col min="33" max="33" width="27.140625" style="4" customWidth="1"/>
    <col min="34" max="34" width="23.28515625" style="4" customWidth="1"/>
    <col min="35" max="36" width="16.7109375" style="4" customWidth="1"/>
    <col min="37" max="37" width="26.42578125" style="4" customWidth="1"/>
    <col min="38" max="38" width="4.42578125" style="4" bestFit="1" customWidth="1"/>
    <col min="39" max="40" width="9.140625" style="4" customWidth="1"/>
    <col min="41" max="16384" width="8.85546875" style="4"/>
  </cols>
  <sheetData>
    <row r="1" spans="1:38" s="9" customFormat="1" ht="9.75" customHeight="1" x14ac:dyDescent="0.25">
      <c r="B1" s="80"/>
    </row>
    <row r="2" spans="1:38" ht="37.5" customHeight="1" x14ac:dyDescent="0.25">
      <c r="AE2" s="12" t="s">
        <v>1093</v>
      </c>
    </row>
    <row r="3" spans="1:38" x14ac:dyDescent="0.25">
      <c r="AE3" s="232"/>
      <c r="AF3" s="232"/>
      <c r="AG3" s="232"/>
    </row>
    <row r="4" spans="1:38" ht="18.75" customHeight="1" x14ac:dyDescent="0.25">
      <c r="AE4" s="774" t="s">
        <v>1094</v>
      </c>
      <c r="AF4" s="774"/>
      <c r="AG4" s="232"/>
    </row>
    <row r="5" spans="1:38" ht="18.75" customHeight="1" x14ac:dyDescent="0.25">
      <c r="E5" s="775" t="s">
        <v>1095</v>
      </c>
      <c r="F5" s="775" t="s">
        <v>1096</v>
      </c>
      <c r="G5" s="773" t="s">
        <v>1097</v>
      </c>
      <c r="H5" s="773" t="s">
        <v>1098</v>
      </c>
      <c r="I5" s="773" t="s">
        <v>1099</v>
      </c>
      <c r="J5" s="773" t="s">
        <v>1100</v>
      </c>
      <c r="K5" s="773" t="s">
        <v>1101</v>
      </c>
      <c r="L5" s="773" t="s">
        <v>1102</v>
      </c>
      <c r="M5" s="773" t="s">
        <v>1103</v>
      </c>
      <c r="N5" s="773" t="s">
        <v>1104</v>
      </c>
      <c r="O5" s="773" t="s">
        <v>1105</v>
      </c>
      <c r="P5" s="773" t="s">
        <v>1106</v>
      </c>
      <c r="Q5" s="773" t="s">
        <v>1107</v>
      </c>
      <c r="R5" s="773" t="s">
        <v>1108</v>
      </c>
      <c r="S5" s="773" t="s">
        <v>1109</v>
      </c>
      <c r="T5" s="773" t="s">
        <v>1110</v>
      </c>
      <c r="U5" s="773" t="s">
        <v>1111</v>
      </c>
      <c r="V5" s="773" t="s">
        <v>1112</v>
      </c>
      <c r="W5" s="713"/>
      <c r="X5" s="713"/>
      <c r="Y5" s="713"/>
      <c r="Z5" s="713"/>
      <c r="AA5" s="777" t="s">
        <v>1113</v>
      </c>
      <c r="AB5" s="777" t="s">
        <v>1114</v>
      </c>
      <c r="AC5" s="775"/>
      <c r="AD5" s="714"/>
      <c r="AE5" s="779" t="s">
        <v>1115</v>
      </c>
      <c r="AF5" s="779"/>
      <c r="AG5" s="232"/>
    </row>
    <row r="6" spans="1:38" ht="18.75" x14ac:dyDescent="0.25">
      <c r="A6" s="233" t="s">
        <v>1116</v>
      </c>
      <c r="B6" s="233" t="s">
        <v>1117</v>
      </c>
      <c r="C6" s="234" t="s">
        <v>1017</v>
      </c>
      <c r="D6" s="234"/>
      <c r="E6" s="775"/>
      <c r="F6" s="775"/>
      <c r="G6" s="773"/>
      <c r="H6" s="773"/>
      <c r="I6" s="773"/>
      <c r="J6" s="773"/>
      <c r="K6" s="773"/>
      <c r="L6" s="773"/>
      <c r="M6" s="773"/>
      <c r="N6" s="773"/>
      <c r="O6" s="773"/>
      <c r="P6" s="773"/>
      <c r="Q6" s="773"/>
      <c r="R6" s="773"/>
      <c r="S6" s="773"/>
      <c r="T6" s="773"/>
      <c r="U6" s="773"/>
      <c r="V6" s="773"/>
      <c r="W6" s="713"/>
      <c r="X6" s="713"/>
      <c r="Y6" s="713"/>
      <c r="Z6" s="713"/>
      <c r="AA6" s="777"/>
      <c r="AB6" s="777"/>
      <c r="AC6" s="775"/>
      <c r="AD6" s="714"/>
      <c r="AE6" s="780" t="s">
        <v>1118</v>
      </c>
      <c r="AF6" s="780"/>
      <c r="AG6" s="232"/>
    </row>
    <row r="7" spans="1:38" x14ac:dyDescent="0.25">
      <c r="A7" s="4" t="s">
        <v>1119</v>
      </c>
      <c r="C7" s="230">
        <f t="shared" ref="C7:C66" si="0">AE$10</f>
        <v>3000</v>
      </c>
      <c r="E7" s="231">
        <v>55</v>
      </c>
      <c r="G7" s="231">
        <v>4.3</v>
      </c>
      <c r="H7" s="231">
        <v>9.3000000000000007</v>
      </c>
      <c r="I7" s="231">
        <v>14.99</v>
      </c>
      <c r="J7" s="230">
        <v>3000</v>
      </c>
      <c r="K7" s="230">
        <v>7000</v>
      </c>
      <c r="L7" s="230">
        <v>5000</v>
      </c>
      <c r="M7" s="230">
        <f>E7</f>
        <v>55</v>
      </c>
      <c r="N7" s="231">
        <f>G7*K7/1000</f>
        <v>30.1</v>
      </c>
      <c r="O7" s="231">
        <f>H7*L7/1000</f>
        <v>46.5</v>
      </c>
      <c r="P7" s="231">
        <f>((C7*3)-J7)*G7/1000</f>
        <v>25.8</v>
      </c>
      <c r="Q7" s="230">
        <f>((C7*3)-J7-K7)*H7/1000</f>
        <v>-9.3000000000000007</v>
      </c>
      <c r="R7" s="230">
        <f>((C7*3)-J7-K7-L7)*I7/1000</f>
        <v>-89.94</v>
      </c>
      <c r="S7" s="230">
        <f>E7</f>
        <v>55</v>
      </c>
      <c r="T7" s="230">
        <f>E7+P7</f>
        <v>80.8</v>
      </c>
      <c r="U7" s="230">
        <f>E7+N7+Q7</f>
        <v>75.8</v>
      </c>
      <c r="V7" s="230">
        <f>E7+N7+O7+R7</f>
        <v>41.66</v>
      </c>
      <c r="W7" s="230" t="b">
        <f>C7*3&lt;=J7</f>
        <v>0</v>
      </c>
      <c r="X7" s="230" t="b">
        <f>AND(C7*3&lt;=(J7+K7),C7*3&gt;J7)</f>
        <v>1</v>
      </c>
      <c r="Y7" s="230" t="b">
        <f>AND(C7*3&gt;(J7+K7),C7*3&lt;=(J7+K7+L7))</f>
        <v>0</v>
      </c>
      <c r="Z7" s="230" t="b">
        <f>C7*3&gt;(J7+K7+L7)</f>
        <v>0</v>
      </c>
      <c r="AA7" s="231">
        <v>0</v>
      </c>
      <c r="AB7" s="231">
        <f>INDEX(S7:V7,MATCH($AC$7,W7:Z7,0))</f>
        <v>80.8</v>
      </c>
      <c r="AC7" s="4" t="b">
        <v>1</v>
      </c>
      <c r="AD7" s="4"/>
      <c r="AE7" s="232"/>
      <c r="AF7" s="232"/>
      <c r="AG7" s="232"/>
    </row>
    <row r="8" spans="1:38" ht="18.75" x14ac:dyDescent="0.25">
      <c r="A8" s="4" t="s">
        <v>1120</v>
      </c>
      <c r="B8" s="235" t="s">
        <v>1121</v>
      </c>
      <c r="C8" s="230">
        <f t="shared" si="0"/>
        <v>3000</v>
      </c>
      <c r="E8" s="231">
        <v>9</v>
      </c>
      <c r="F8" s="231">
        <v>3.82</v>
      </c>
      <c r="M8" s="231"/>
      <c r="N8" s="231"/>
      <c r="O8" s="231"/>
      <c r="P8" s="231"/>
      <c r="Q8" s="231"/>
      <c r="R8" s="231"/>
      <c r="S8" s="231"/>
      <c r="T8" s="231"/>
      <c r="U8" s="231"/>
      <c r="V8" s="231"/>
      <c r="W8" s="231"/>
      <c r="X8" s="231"/>
      <c r="Y8" s="231"/>
      <c r="Z8" s="231"/>
      <c r="AA8" s="231">
        <v>0</v>
      </c>
      <c r="AB8" s="231">
        <f>E8+(F8*C8*3/1000)</f>
        <v>43.38</v>
      </c>
      <c r="AC8" s="4" t="b">
        <v>0</v>
      </c>
      <c r="AD8" s="4"/>
      <c r="AE8" s="774" t="s">
        <v>1122</v>
      </c>
      <c r="AF8" s="774"/>
      <c r="AG8" s="232"/>
    </row>
    <row r="9" spans="1:38" ht="15.75" x14ac:dyDescent="0.25">
      <c r="A9" s="4" t="s">
        <v>1123</v>
      </c>
      <c r="B9" s="236">
        <v>42388</v>
      </c>
      <c r="C9" s="230">
        <f t="shared" si="0"/>
        <v>3000</v>
      </c>
      <c r="E9" s="231">
        <v>5.14</v>
      </c>
      <c r="F9" s="237">
        <v>4.6176000000000004</v>
      </c>
      <c r="G9" s="237">
        <v>4.0350999999999999</v>
      </c>
      <c r="H9" s="237"/>
      <c r="J9" s="230">
        <v>36667</v>
      </c>
      <c r="M9" s="231">
        <f>J9*F9/1000</f>
        <v>169.31353920000001</v>
      </c>
      <c r="N9" s="231"/>
      <c r="O9" s="231"/>
      <c r="P9" s="231">
        <f>(C9-J9)*G9/1000</f>
        <v>-135.84971169999997</v>
      </c>
      <c r="Q9" s="231"/>
      <c r="R9" s="231"/>
      <c r="S9" s="231"/>
      <c r="T9" s="231">
        <f>E9+M9+P9</f>
        <v>38.603827500000023</v>
      </c>
      <c r="U9" s="231"/>
      <c r="V9" s="231"/>
      <c r="W9" s="231"/>
      <c r="X9" s="231"/>
      <c r="Y9" s="231"/>
      <c r="Z9" s="231"/>
      <c r="AA9" s="231">
        <f>IF(C9&gt;J9,T9,E9+(F9*C9/1000))</f>
        <v>18.992799999999999</v>
      </c>
      <c r="AB9" s="231">
        <f>AA9*3</f>
        <v>56.978399999999993</v>
      </c>
      <c r="AC9" s="4"/>
      <c r="AD9" s="4"/>
      <c r="AE9" s="779" t="s">
        <v>1124</v>
      </c>
      <c r="AF9" s="779"/>
      <c r="AG9" s="232"/>
    </row>
    <row r="10" spans="1:38" ht="18.75" x14ac:dyDescent="0.25">
      <c r="A10" s="4" t="s">
        <v>1125</v>
      </c>
      <c r="B10" s="236">
        <v>42388</v>
      </c>
      <c r="C10" s="230">
        <f t="shared" si="0"/>
        <v>3000</v>
      </c>
      <c r="E10" s="231">
        <v>4.2</v>
      </c>
      <c r="F10" s="237">
        <v>4.6176000000000004</v>
      </c>
      <c r="G10" s="237">
        <v>4.0350999999999999</v>
      </c>
      <c r="H10" s="237"/>
      <c r="J10" s="230">
        <v>36667</v>
      </c>
      <c r="M10" s="231">
        <f>J10*F10/1000</f>
        <v>169.31353920000001</v>
      </c>
      <c r="N10" s="231"/>
      <c r="O10" s="231"/>
      <c r="P10" s="231">
        <f>(C10-J10)*G10/1000</f>
        <v>-135.84971169999997</v>
      </c>
      <c r="Q10" s="231"/>
      <c r="R10" s="231"/>
      <c r="S10" s="231"/>
      <c r="T10" s="231">
        <f>E10+M10+P10</f>
        <v>37.663827500000025</v>
      </c>
      <c r="U10" s="231"/>
      <c r="V10" s="231"/>
      <c r="W10" s="231"/>
      <c r="X10" s="231"/>
      <c r="Y10" s="231"/>
      <c r="Z10" s="231"/>
      <c r="AA10" s="231">
        <f>IF(C10&gt;J10,T10,E10+(F10*C10/1000))</f>
        <v>18.052800000000001</v>
      </c>
      <c r="AB10" s="231">
        <f>AA10*3</f>
        <v>54.1584</v>
      </c>
      <c r="AE10" s="781">
        <v>3000</v>
      </c>
      <c r="AF10" s="781"/>
      <c r="AG10" s="232"/>
    </row>
    <row r="11" spans="1:38" x14ac:dyDescent="0.25">
      <c r="A11" s="4" t="s">
        <v>1126</v>
      </c>
      <c r="B11" s="238" t="s">
        <v>1121</v>
      </c>
      <c r="C11" s="230">
        <f t="shared" si="0"/>
        <v>3000</v>
      </c>
      <c r="D11" s="4"/>
      <c r="E11" s="231">
        <v>33.86</v>
      </c>
      <c r="F11" s="231">
        <v>7.6</v>
      </c>
      <c r="G11" s="231">
        <v>3.54</v>
      </c>
      <c r="H11" s="4"/>
      <c r="I11" s="4"/>
      <c r="J11" s="230">
        <v>33000</v>
      </c>
      <c r="K11" s="4"/>
      <c r="L11" s="4"/>
      <c r="M11" s="231">
        <f>(J11*F11/1000)</f>
        <v>250.8</v>
      </c>
      <c r="N11" s="231"/>
      <c r="O11" s="231"/>
      <c r="P11" s="231">
        <f>((C11*2)-J11)*G11/1000</f>
        <v>-95.58</v>
      </c>
      <c r="Q11" s="231"/>
      <c r="R11" s="231"/>
      <c r="S11" s="231"/>
      <c r="T11" s="231">
        <f>(E11+M11+P11)/2</f>
        <v>94.54000000000002</v>
      </c>
      <c r="U11" s="231"/>
      <c r="V11" s="231"/>
      <c r="W11" s="231"/>
      <c r="X11" s="231"/>
      <c r="Y11" s="231"/>
      <c r="Z11" s="231"/>
      <c r="AA11" s="231">
        <f>IF((C11*2)&lt;=J11,(E11+(F11*C11*2/1000))/2,((M11+P11+E11)/2))</f>
        <v>39.730000000000004</v>
      </c>
      <c r="AB11" s="231">
        <v>0</v>
      </c>
      <c r="AE11" s="232"/>
      <c r="AF11" s="232"/>
      <c r="AG11" s="776" t="s">
        <v>1127</v>
      </c>
    </row>
    <row r="12" spans="1:38" ht="18.75" customHeight="1" x14ac:dyDescent="0.25">
      <c r="A12" s="4" t="s">
        <v>1128</v>
      </c>
      <c r="B12" s="238" t="s">
        <v>1121</v>
      </c>
      <c r="C12" s="230">
        <f t="shared" si="0"/>
        <v>3000</v>
      </c>
      <c r="D12" s="4"/>
      <c r="E12" s="231">
        <v>22.57</v>
      </c>
      <c r="F12" s="231">
        <v>7.6</v>
      </c>
      <c r="G12" s="231">
        <v>3.54</v>
      </c>
      <c r="H12" s="4"/>
      <c r="I12" s="4"/>
      <c r="J12" s="230">
        <v>33000</v>
      </c>
      <c r="K12" s="4"/>
      <c r="L12" s="4"/>
      <c r="M12" s="231">
        <f>(J12*F12/1000)</f>
        <v>250.8</v>
      </c>
      <c r="N12" s="231"/>
      <c r="O12" s="231"/>
      <c r="P12" s="231">
        <f>((C12*2)-J12)*G12/1000</f>
        <v>-95.58</v>
      </c>
      <c r="Q12" s="231"/>
      <c r="R12" s="231"/>
      <c r="S12" s="231"/>
      <c r="T12" s="231">
        <f>(E12+M12+P12)/2</f>
        <v>88.89500000000001</v>
      </c>
      <c r="U12" s="231"/>
      <c r="V12" s="231"/>
      <c r="W12" s="231"/>
      <c r="X12" s="231"/>
      <c r="Y12" s="231"/>
      <c r="Z12" s="231"/>
      <c r="AA12" s="231">
        <f>IF((C12*2)&lt;=J12,(E12+(F12*C12*2/1000))/2,((M12+P12+E12)/2))</f>
        <v>34.085000000000001</v>
      </c>
      <c r="AB12" s="231">
        <v>0</v>
      </c>
      <c r="AE12" s="776" t="s">
        <v>1113</v>
      </c>
      <c r="AF12" s="776" t="s">
        <v>1114</v>
      </c>
      <c r="AG12" s="776"/>
    </row>
    <row r="13" spans="1:38" ht="18.75" customHeight="1" x14ac:dyDescent="0.25">
      <c r="A13" s="4" t="s">
        <v>1129</v>
      </c>
      <c r="C13" s="230">
        <f t="shared" si="0"/>
        <v>3000</v>
      </c>
      <c r="E13" s="231">
        <v>27.5</v>
      </c>
      <c r="F13" s="231">
        <v>8.8000000000000007</v>
      </c>
      <c r="AA13" s="231">
        <f>E13+(F13*C13)/1000</f>
        <v>53.900000000000006</v>
      </c>
      <c r="AB13" s="231">
        <v>0</v>
      </c>
      <c r="AE13" s="776"/>
      <c r="AF13" s="776"/>
      <c r="AG13" s="239" t="s">
        <v>1130</v>
      </c>
    </row>
    <row r="14" spans="1:38" ht="23.25" x14ac:dyDescent="0.25">
      <c r="A14" s="4" t="s">
        <v>1131</v>
      </c>
      <c r="C14" s="230">
        <f t="shared" si="0"/>
        <v>3000</v>
      </c>
      <c r="E14" s="231">
        <v>16</v>
      </c>
      <c r="F14" s="231">
        <v>8.8000000000000007</v>
      </c>
      <c r="AA14" s="231">
        <f>E14+(F14*C14)/1000</f>
        <v>42.400000000000006</v>
      </c>
      <c r="AB14" s="231">
        <v>0</v>
      </c>
      <c r="AE14" s="240">
        <f t="array" ref="AE14">INDEX($AA$7:$AA$151,MATCH($AE$6&amp;AE10,$A$7:$A$151&amp;$C$7:$C$151,0))</f>
        <v>29.305</v>
      </c>
      <c r="AF14" s="240">
        <f t="array" ref="AF14">INDEX($AB$7:$AB$151,MATCH($AE$6&amp;AE10,$A$7:$A$151&amp;$C$7:$C$151,0))</f>
        <v>0</v>
      </c>
      <c r="AG14" s="241">
        <f>AE10*3</f>
        <v>9000</v>
      </c>
    </row>
    <row r="15" spans="1:38" x14ac:dyDescent="0.25">
      <c r="A15" s="4" t="s">
        <v>1132</v>
      </c>
      <c r="C15" s="230">
        <f t="shared" si="0"/>
        <v>3000</v>
      </c>
      <c r="E15" s="231">
        <v>15</v>
      </c>
      <c r="F15" s="231">
        <v>7.1</v>
      </c>
      <c r="AA15" s="231">
        <f>E15+(F15*C15)/1000</f>
        <v>36.299999999999997</v>
      </c>
      <c r="AB15" s="231">
        <v>0</v>
      </c>
      <c r="AE15" s="232"/>
      <c r="AF15" s="232"/>
      <c r="AG15" s="232"/>
      <c r="AL15" s="231"/>
    </row>
    <row r="16" spans="1:38" x14ac:dyDescent="0.25">
      <c r="A16" s="4" t="s">
        <v>1133</v>
      </c>
      <c r="C16" s="230">
        <f t="shared" si="0"/>
        <v>3000</v>
      </c>
      <c r="E16" s="231">
        <v>27.5</v>
      </c>
      <c r="F16" s="231">
        <v>7.2080000000000002</v>
      </c>
      <c r="G16" s="230">
        <v>8.2080000000000002</v>
      </c>
      <c r="J16" s="230">
        <v>2000</v>
      </c>
      <c r="M16" s="231">
        <f t="shared" ref="M16:M21" si="1">J16*F16/1000</f>
        <v>14.416</v>
      </c>
      <c r="N16" s="231"/>
      <c r="O16" s="231"/>
      <c r="P16" s="231">
        <f t="shared" ref="P16:P21" si="2">(C16-J16)*G16/1000</f>
        <v>8.2080000000000002</v>
      </c>
      <c r="Q16" s="231"/>
      <c r="R16" s="231"/>
      <c r="S16" s="231"/>
      <c r="T16" s="231">
        <f t="shared" ref="T16:T21" si="3">E16+M16+P16</f>
        <v>50.123999999999995</v>
      </c>
      <c r="U16" s="231"/>
      <c r="V16" s="231"/>
      <c r="W16" s="231"/>
      <c r="X16" s="231"/>
      <c r="Y16" s="231"/>
      <c r="Z16" s="231"/>
      <c r="AA16" s="231">
        <f t="shared" ref="AA16:AA21" si="4">IF(C16&gt;J16,T16,E16+(F16*C16/1000))</f>
        <v>50.123999999999995</v>
      </c>
      <c r="AB16" s="231">
        <v>0</v>
      </c>
      <c r="AE16" s="232"/>
      <c r="AF16" s="232"/>
      <c r="AG16" s="232"/>
      <c r="AL16" s="231"/>
    </row>
    <row r="17" spans="1:38" x14ac:dyDescent="0.25">
      <c r="A17" s="4" t="s">
        <v>1134</v>
      </c>
      <c r="C17" s="230">
        <f t="shared" si="0"/>
        <v>3000</v>
      </c>
      <c r="E17" s="231">
        <v>16</v>
      </c>
      <c r="F17" s="231">
        <v>7.2080000000000002</v>
      </c>
      <c r="G17" s="230">
        <v>8.2080000000000002</v>
      </c>
      <c r="J17" s="230">
        <v>2000</v>
      </c>
      <c r="M17" s="231">
        <f t="shared" si="1"/>
        <v>14.416</v>
      </c>
      <c r="N17" s="231"/>
      <c r="O17" s="231"/>
      <c r="P17" s="231">
        <f t="shared" si="2"/>
        <v>8.2080000000000002</v>
      </c>
      <c r="Q17" s="231"/>
      <c r="R17" s="231"/>
      <c r="S17" s="231"/>
      <c r="T17" s="231">
        <f t="shared" si="3"/>
        <v>38.624000000000002</v>
      </c>
      <c r="U17" s="231"/>
      <c r="V17" s="231"/>
      <c r="W17" s="231"/>
      <c r="X17" s="231"/>
      <c r="Y17" s="231"/>
      <c r="Z17" s="231"/>
      <c r="AA17" s="231">
        <f t="shared" si="4"/>
        <v>38.624000000000002</v>
      </c>
      <c r="AB17" s="231">
        <v>0</v>
      </c>
      <c r="AE17" s="232" t="s">
        <v>1135</v>
      </c>
      <c r="AF17" s="232"/>
      <c r="AG17" s="232"/>
      <c r="AK17" s="231"/>
      <c r="AL17" s="231"/>
    </row>
    <row r="18" spans="1:38" x14ac:dyDescent="0.25">
      <c r="A18" s="4" t="s">
        <v>1136</v>
      </c>
      <c r="C18" s="230">
        <f t="shared" si="0"/>
        <v>3000</v>
      </c>
      <c r="E18" s="231">
        <v>15</v>
      </c>
      <c r="F18" s="231">
        <v>5</v>
      </c>
      <c r="G18" s="230">
        <v>6</v>
      </c>
      <c r="J18" s="230">
        <v>2000</v>
      </c>
      <c r="M18" s="231">
        <f t="shared" si="1"/>
        <v>10</v>
      </c>
      <c r="N18" s="231"/>
      <c r="O18" s="231"/>
      <c r="P18" s="231">
        <f t="shared" si="2"/>
        <v>6</v>
      </c>
      <c r="Q18" s="231"/>
      <c r="R18" s="231"/>
      <c r="S18" s="231"/>
      <c r="T18" s="231">
        <f t="shared" si="3"/>
        <v>31</v>
      </c>
      <c r="U18" s="231"/>
      <c r="V18" s="231"/>
      <c r="W18" s="231"/>
      <c r="X18" s="231"/>
      <c r="Y18" s="231"/>
      <c r="Z18" s="231"/>
      <c r="AA18" s="231">
        <f t="shared" si="4"/>
        <v>31</v>
      </c>
      <c r="AB18" s="231">
        <v>0</v>
      </c>
      <c r="AE18" s="232"/>
      <c r="AF18" s="232"/>
      <c r="AG18" s="232"/>
      <c r="AK18" s="231"/>
      <c r="AL18" s="231"/>
    </row>
    <row r="19" spans="1:38" ht="15" customHeight="1" x14ac:dyDescent="0.25">
      <c r="A19" s="4" t="s">
        <v>1137</v>
      </c>
      <c r="C19" s="230">
        <f t="shared" si="0"/>
        <v>3000</v>
      </c>
      <c r="E19" s="231">
        <v>26</v>
      </c>
      <c r="F19" s="231">
        <v>4.8</v>
      </c>
      <c r="G19" s="230">
        <v>8.9619999999999997</v>
      </c>
      <c r="J19" s="230">
        <v>4000</v>
      </c>
      <c r="M19" s="231">
        <f t="shared" si="1"/>
        <v>19.2</v>
      </c>
      <c r="N19" s="231"/>
      <c r="O19" s="231"/>
      <c r="P19" s="231">
        <f t="shared" si="2"/>
        <v>-8.9619999999999997</v>
      </c>
      <c r="Q19" s="231"/>
      <c r="R19" s="231"/>
      <c r="S19" s="231"/>
      <c r="T19" s="231">
        <f t="shared" si="3"/>
        <v>36.238</v>
      </c>
      <c r="U19" s="231"/>
      <c r="V19" s="231"/>
      <c r="W19" s="231"/>
      <c r="X19" s="231"/>
      <c r="Y19" s="231"/>
      <c r="Z19" s="231"/>
      <c r="AA19" s="231">
        <f t="shared" si="4"/>
        <v>40.4</v>
      </c>
      <c r="AB19" s="231">
        <v>0</v>
      </c>
      <c r="AE19" s="778" t="s">
        <v>1138</v>
      </c>
      <c r="AF19" s="778"/>
      <c r="AG19" s="242"/>
      <c r="AH19" s="243"/>
      <c r="AK19" s="231"/>
      <c r="AL19" s="231"/>
    </row>
    <row r="20" spans="1:38" x14ac:dyDescent="0.25">
      <c r="A20" s="4" t="s">
        <v>1139</v>
      </c>
      <c r="C20" s="230">
        <f t="shared" si="0"/>
        <v>3000</v>
      </c>
      <c r="E20" s="231">
        <v>26</v>
      </c>
      <c r="F20" s="231">
        <v>7.2119999999999997</v>
      </c>
      <c r="G20" s="230">
        <v>10.352</v>
      </c>
      <c r="J20" s="230">
        <v>4000</v>
      </c>
      <c r="M20" s="231">
        <f t="shared" si="1"/>
        <v>28.847999999999999</v>
      </c>
      <c r="N20" s="231"/>
      <c r="O20" s="231"/>
      <c r="P20" s="231">
        <f t="shared" si="2"/>
        <v>-10.352</v>
      </c>
      <c r="Q20" s="231"/>
      <c r="R20" s="231"/>
      <c r="S20" s="231"/>
      <c r="T20" s="231">
        <f t="shared" si="3"/>
        <v>44.495999999999995</v>
      </c>
      <c r="U20" s="231"/>
      <c r="V20" s="231"/>
      <c r="W20" s="231"/>
      <c r="X20" s="231"/>
      <c r="Y20" s="231"/>
      <c r="Z20" s="231"/>
      <c r="AA20" s="231">
        <f t="shared" si="4"/>
        <v>47.635999999999996</v>
      </c>
      <c r="AB20" s="231">
        <v>0</v>
      </c>
      <c r="AE20" s="778"/>
      <c r="AF20" s="778"/>
      <c r="AG20" s="232"/>
      <c r="AK20" s="231"/>
    </row>
    <row r="21" spans="1:38" x14ac:dyDescent="0.25">
      <c r="A21" s="4" t="s">
        <v>1140</v>
      </c>
      <c r="C21" s="230">
        <f t="shared" si="0"/>
        <v>3000</v>
      </c>
      <c r="E21" s="231">
        <v>26</v>
      </c>
      <c r="F21" s="231">
        <v>7.2119999999999997</v>
      </c>
      <c r="G21" s="230">
        <v>10.352</v>
      </c>
      <c r="J21" s="230">
        <v>4000</v>
      </c>
      <c r="M21" s="231">
        <f t="shared" si="1"/>
        <v>28.847999999999999</v>
      </c>
      <c r="N21" s="231"/>
      <c r="O21" s="231"/>
      <c r="P21" s="231">
        <f t="shared" si="2"/>
        <v>-10.352</v>
      </c>
      <c r="Q21" s="231"/>
      <c r="R21" s="231"/>
      <c r="S21" s="231"/>
      <c r="T21" s="231">
        <f t="shared" si="3"/>
        <v>44.495999999999995</v>
      </c>
      <c r="U21" s="231"/>
      <c r="V21" s="231"/>
      <c r="W21" s="231"/>
      <c r="X21" s="231"/>
      <c r="Y21" s="231"/>
      <c r="Z21" s="231"/>
      <c r="AA21" s="231">
        <f t="shared" si="4"/>
        <v>47.635999999999996</v>
      </c>
      <c r="AB21" s="231">
        <v>0</v>
      </c>
      <c r="AE21" s="778"/>
      <c r="AF21" s="778"/>
      <c r="AG21" s="232"/>
      <c r="AK21" s="231"/>
    </row>
    <row r="22" spans="1:38" x14ac:dyDescent="0.25">
      <c r="A22" s="4" t="s">
        <v>1141</v>
      </c>
      <c r="C22" s="230">
        <f t="shared" si="0"/>
        <v>3000</v>
      </c>
      <c r="E22" s="231">
        <v>16</v>
      </c>
      <c r="F22" s="231">
        <v>7.98</v>
      </c>
      <c r="AA22" s="231">
        <f>E22+(F22*C22)/1000</f>
        <v>39.94</v>
      </c>
      <c r="AB22" s="231">
        <v>0</v>
      </c>
      <c r="AE22" s="232"/>
      <c r="AF22" s="232"/>
      <c r="AG22" s="232"/>
      <c r="AK22" s="231"/>
    </row>
    <row r="23" spans="1:38" x14ac:dyDescent="0.25">
      <c r="A23" s="4" t="s">
        <v>1142</v>
      </c>
      <c r="C23" s="230">
        <f t="shared" si="0"/>
        <v>3000</v>
      </c>
      <c r="E23" s="231">
        <v>27.5</v>
      </c>
      <c r="F23" s="231">
        <v>7.98</v>
      </c>
      <c r="AA23" s="231">
        <f>E23+(F23*C23)/1000</f>
        <v>51.44</v>
      </c>
      <c r="AB23" s="231">
        <v>0</v>
      </c>
      <c r="AE23" s="782" t="s">
        <v>1143</v>
      </c>
      <c r="AF23" s="782"/>
      <c r="AG23" s="232"/>
      <c r="AK23" s="231"/>
    </row>
    <row r="24" spans="1:38" ht="15" customHeight="1" x14ac:dyDescent="0.25">
      <c r="A24" s="4" t="s">
        <v>1144</v>
      </c>
      <c r="C24" s="230">
        <f t="shared" si="0"/>
        <v>3000</v>
      </c>
      <c r="E24" s="231">
        <v>27.5</v>
      </c>
      <c r="F24" s="231">
        <v>8</v>
      </c>
      <c r="AA24" s="231">
        <f>E24+(F24*C24)/1000</f>
        <v>51.5</v>
      </c>
      <c r="AB24" s="231">
        <v>0</v>
      </c>
      <c r="AE24" s="232"/>
      <c r="AF24" s="232"/>
      <c r="AG24" s="232"/>
      <c r="AK24" s="231"/>
    </row>
    <row r="25" spans="1:38" x14ac:dyDescent="0.25">
      <c r="A25" s="4" t="s">
        <v>1145</v>
      </c>
      <c r="C25" s="230">
        <f t="shared" si="0"/>
        <v>3000</v>
      </c>
      <c r="E25" s="231">
        <v>16</v>
      </c>
      <c r="F25" s="231">
        <v>8</v>
      </c>
      <c r="AA25" s="231">
        <f>E25+(F25*C25)/1000</f>
        <v>40</v>
      </c>
      <c r="AB25" s="231">
        <v>0</v>
      </c>
      <c r="AE25" s="782" t="s">
        <v>1146</v>
      </c>
      <c r="AF25" s="782"/>
      <c r="AG25" s="232"/>
      <c r="AK25" s="231"/>
    </row>
    <row r="26" spans="1:38" x14ac:dyDescent="0.25">
      <c r="A26" s="4" t="s">
        <v>1147</v>
      </c>
      <c r="C26" s="230">
        <f t="shared" si="0"/>
        <v>3000</v>
      </c>
      <c r="E26" s="231">
        <v>23.5</v>
      </c>
      <c r="F26" s="231">
        <v>7.2119999999999997</v>
      </c>
      <c r="G26" s="230">
        <v>8.9619999999999997</v>
      </c>
      <c r="J26" s="230">
        <v>4000</v>
      </c>
      <c r="M26" s="231">
        <f>J26*F26/1000</f>
        <v>28.847999999999999</v>
      </c>
      <c r="N26" s="231"/>
      <c r="O26" s="231"/>
      <c r="P26" s="231">
        <f>(C26-J26)*G26/1000</f>
        <v>-8.9619999999999997</v>
      </c>
      <c r="Q26" s="231"/>
      <c r="R26" s="231"/>
      <c r="S26" s="231"/>
      <c r="T26" s="231">
        <f>E26+M26+P26</f>
        <v>43.385999999999996</v>
      </c>
      <c r="U26" s="231"/>
      <c r="V26" s="231"/>
      <c r="W26" s="231"/>
      <c r="X26" s="231"/>
      <c r="Y26" s="231"/>
      <c r="Z26" s="231"/>
      <c r="AA26" s="231">
        <f>IF(C26&gt;J26,T26,E26+(F26*C26/1000))</f>
        <v>45.135999999999996</v>
      </c>
      <c r="AB26" s="231">
        <v>0</v>
      </c>
      <c r="AE26" s="232"/>
      <c r="AF26" s="232"/>
      <c r="AG26" s="232"/>
      <c r="AK26" s="231"/>
    </row>
    <row r="27" spans="1:38" ht="15" customHeight="1" x14ac:dyDescent="0.25">
      <c r="A27" s="4" t="s">
        <v>1148</v>
      </c>
      <c r="C27" s="230">
        <f t="shared" si="0"/>
        <v>3000</v>
      </c>
      <c r="E27" s="231">
        <v>27.5</v>
      </c>
      <c r="F27" s="231">
        <v>9.0709999999999997</v>
      </c>
      <c r="G27" s="244">
        <v>10.352</v>
      </c>
      <c r="H27" s="244"/>
      <c r="I27" s="244"/>
      <c r="J27" s="230">
        <v>2000</v>
      </c>
      <c r="M27" s="231">
        <f>J27*F27/1000</f>
        <v>18.141999999999999</v>
      </c>
      <c r="N27" s="231"/>
      <c r="O27" s="231"/>
      <c r="P27" s="231">
        <f>(C27-J27)*G27/1000</f>
        <v>10.352</v>
      </c>
      <c r="Q27" s="231"/>
      <c r="R27" s="231"/>
      <c r="S27" s="231"/>
      <c r="T27" s="231">
        <f>E27+M27+P27</f>
        <v>55.994</v>
      </c>
      <c r="U27" s="231"/>
      <c r="V27" s="231"/>
      <c r="W27" s="231"/>
      <c r="X27" s="231"/>
      <c r="Y27" s="231"/>
      <c r="Z27" s="231"/>
      <c r="AA27" s="231">
        <f>IF(C27&gt;J27,T27,E27+(F27*C27/1000))</f>
        <v>55.994</v>
      </c>
      <c r="AB27" s="231">
        <v>0</v>
      </c>
      <c r="AE27" s="778" t="s">
        <v>1149</v>
      </c>
      <c r="AF27" s="778"/>
      <c r="AG27" s="232"/>
      <c r="AK27" s="231"/>
    </row>
    <row r="28" spans="1:38" ht="15" customHeight="1" x14ac:dyDescent="0.25">
      <c r="A28" s="4" t="s">
        <v>1150</v>
      </c>
      <c r="C28" s="230">
        <f t="shared" si="0"/>
        <v>3000</v>
      </c>
      <c r="E28" s="231">
        <v>16</v>
      </c>
      <c r="F28" s="231">
        <v>9.0709999999999997</v>
      </c>
      <c r="G28" s="244">
        <v>10.352</v>
      </c>
      <c r="H28" s="244"/>
      <c r="I28" s="244"/>
      <c r="J28" s="230">
        <v>2000</v>
      </c>
      <c r="M28" s="231">
        <f>J28*F28/1000</f>
        <v>18.141999999999999</v>
      </c>
      <c r="N28" s="231"/>
      <c r="O28" s="231"/>
      <c r="P28" s="231">
        <f>(C28-J28)*G28/1000</f>
        <v>10.352</v>
      </c>
      <c r="Q28" s="231"/>
      <c r="R28" s="231"/>
      <c r="S28" s="231"/>
      <c r="T28" s="231">
        <f>E28+M28+P28</f>
        <v>44.494</v>
      </c>
      <c r="U28" s="231"/>
      <c r="V28" s="231"/>
      <c r="W28" s="231"/>
      <c r="X28" s="231"/>
      <c r="Y28" s="231"/>
      <c r="Z28" s="231"/>
      <c r="AA28" s="231">
        <f>IF(C28&gt;J28,T28,E28+(F28*C28/1000))</f>
        <v>44.494</v>
      </c>
      <c r="AB28" s="231">
        <v>0</v>
      </c>
      <c r="AE28" s="778"/>
      <c r="AF28" s="778"/>
      <c r="AG28" s="242"/>
      <c r="AJ28" s="243"/>
      <c r="AK28" s="231"/>
    </row>
    <row r="29" spans="1:38" x14ac:dyDescent="0.25">
      <c r="A29" s="4" t="s">
        <v>1151</v>
      </c>
      <c r="C29" s="230">
        <f t="shared" si="0"/>
        <v>3000</v>
      </c>
      <c r="E29" s="231" t="b">
        <f>IF(C29&lt;=2000,28)</f>
        <v>0</v>
      </c>
      <c r="F29" s="231">
        <f>IF(AND(C29&gt;=2001,C29&lt;=3000),33)</f>
        <v>33</v>
      </c>
      <c r="G29" s="231" t="b">
        <f>IF(AND(C29&gt;=3001,C29&lt;=6667),33.33+(C29-3001)*3.5/1000)</f>
        <v>0</v>
      </c>
      <c r="H29" s="231"/>
      <c r="I29" s="231"/>
      <c r="J29" s="231" t="b">
        <f>IF(C29&gt;6667,41.67+(C29-6667)*4.5/1000)</f>
        <v>0</v>
      </c>
      <c r="K29" s="231"/>
      <c r="L29" s="231"/>
      <c r="M29" s="231">
        <f>MAX(E29:J29)</f>
        <v>33</v>
      </c>
      <c r="N29" s="231"/>
      <c r="O29" s="231"/>
      <c r="AA29" s="231">
        <f>M29</f>
        <v>33</v>
      </c>
      <c r="AB29" s="231">
        <v>0</v>
      </c>
      <c r="AE29" s="778"/>
      <c r="AF29" s="778"/>
      <c r="AG29" s="242"/>
      <c r="AJ29" s="243"/>
      <c r="AK29" s="231"/>
    </row>
    <row r="30" spans="1:38" ht="15" customHeight="1" x14ac:dyDescent="0.25">
      <c r="A30" s="4" t="s">
        <v>1152</v>
      </c>
      <c r="C30" s="230">
        <f t="shared" si="0"/>
        <v>3000</v>
      </c>
      <c r="E30" s="231">
        <v>23.5</v>
      </c>
      <c r="F30" s="231">
        <v>7.2119999999999997</v>
      </c>
      <c r="G30" s="230">
        <v>8.9619999999999997</v>
      </c>
      <c r="J30" s="230">
        <v>4000</v>
      </c>
      <c r="M30" s="231">
        <f>J30*F30/1000</f>
        <v>28.847999999999999</v>
      </c>
      <c r="N30" s="231"/>
      <c r="O30" s="231"/>
      <c r="P30" s="231">
        <f>(C30-J30)*G30/1000</f>
        <v>-8.9619999999999997</v>
      </c>
      <c r="Q30" s="231"/>
      <c r="R30" s="231"/>
      <c r="S30" s="231"/>
      <c r="T30" s="231">
        <f>E30+M30+P30</f>
        <v>43.385999999999996</v>
      </c>
      <c r="U30" s="231"/>
      <c r="V30" s="231"/>
      <c r="W30" s="231"/>
      <c r="X30" s="231"/>
      <c r="Y30" s="231"/>
      <c r="Z30" s="231"/>
      <c r="AA30" s="231">
        <f>IF(C30&gt;J30,T30,E30+(F30*C30/1000))</f>
        <v>45.135999999999996</v>
      </c>
      <c r="AB30" s="231">
        <v>0</v>
      </c>
      <c r="AE30" s="232"/>
      <c r="AF30" s="242"/>
      <c r="AG30" s="232"/>
      <c r="AK30" s="231"/>
    </row>
    <row r="31" spans="1:38" x14ac:dyDescent="0.25">
      <c r="A31" s="4" t="s">
        <v>1153</v>
      </c>
      <c r="C31" s="230">
        <f t="shared" si="0"/>
        <v>3000</v>
      </c>
      <c r="E31" s="231">
        <v>26</v>
      </c>
      <c r="F31" s="231">
        <v>7.2119999999999997</v>
      </c>
      <c r="G31" s="230">
        <v>10.352</v>
      </c>
      <c r="J31" s="230">
        <v>4000</v>
      </c>
      <c r="M31" s="231">
        <f>J31*F31/1000</f>
        <v>28.847999999999999</v>
      </c>
      <c r="N31" s="231"/>
      <c r="O31" s="231"/>
      <c r="P31" s="231">
        <f>(C31-J31)*G31/1000</f>
        <v>-10.352</v>
      </c>
      <c r="Q31" s="231"/>
      <c r="R31" s="231"/>
      <c r="S31" s="231"/>
      <c r="T31" s="231">
        <f>E31+M31+P31</f>
        <v>44.495999999999995</v>
      </c>
      <c r="U31" s="231"/>
      <c r="V31" s="231"/>
      <c r="W31" s="231"/>
      <c r="X31" s="231"/>
      <c r="Y31" s="231"/>
      <c r="Z31" s="231"/>
      <c r="AA31" s="231">
        <f>IF(C31&gt;J31,T31,E31+(F31*C31/1000))</f>
        <v>47.635999999999996</v>
      </c>
      <c r="AB31" s="231">
        <v>0</v>
      </c>
      <c r="AE31" s="778" t="s">
        <v>1154</v>
      </c>
      <c r="AF31" s="778"/>
      <c r="AG31" s="232"/>
      <c r="AK31" s="231"/>
    </row>
    <row r="32" spans="1:38" x14ac:dyDescent="0.25">
      <c r="A32" s="4" t="s">
        <v>1155</v>
      </c>
      <c r="C32" s="230">
        <f t="shared" si="0"/>
        <v>3000</v>
      </c>
      <c r="E32" s="231">
        <v>16.25</v>
      </c>
      <c r="F32" s="231">
        <v>6</v>
      </c>
      <c r="AA32" s="231">
        <f>E32+(F32*C32)/1000</f>
        <v>34.25</v>
      </c>
      <c r="AB32" s="231">
        <v>0</v>
      </c>
      <c r="AE32" s="778"/>
      <c r="AF32" s="778"/>
      <c r="AG32" s="232"/>
      <c r="AK32" s="231"/>
    </row>
    <row r="33" spans="1:38" ht="15" customHeight="1" x14ac:dyDescent="0.25">
      <c r="A33" s="4" t="s">
        <v>1156</v>
      </c>
      <c r="C33" s="230">
        <f t="shared" si="0"/>
        <v>3000</v>
      </c>
      <c r="E33" s="231">
        <v>26</v>
      </c>
      <c r="F33" s="231">
        <v>7.2119999999999997</v>
      </c>
      <c r="G33" s="230">
        <v>10.352</v>
      </c>
      <c r="J33" s="230">
        <v>4000</v>
      </c>
      <c r="M33" s="231">
        <f>J33*F33/1000</f>
        <v>28.847999999999999</v>
      </c>
      <c r="N33" s="231"/>
      <c r="O33" s="231"/>
      <c r="P33" s="231">
        <f>(C33-J33)*G33/1000</f>
        <v>-10.352</v>
      </c>
      <c r="Q33" s="231"/>
      <c r="R33" s="231"/>
      <c r="S33" s="231"/>
      <c r="T33" s="231">
        <f>E33+M33+P33</f>
        <v>44.495999999999995</v>
      </c>
      <c r="U33" s="231"/>
      <c r="V33" s="231"/>
      <c r="W33" s="231"/>
      <c r="X33" s="231"/>
      <c r="Y33" s="231"/>
      <c r="Z33" s="231"/>
      <c r="AA33" s="231">
        <f>IF(C33&gt;J33,T33,E33+(F33*C33/1000))</f>
        <v>47.635999999999996</v>
      </c>
      <c r="AB33" s="231">
        <v>0</v>
      </c>
      <c r="AE33" s="778"/>
      <c r="AF33" s="778"/>
      <c r="AG33" s="232"/>
      <c r="AK33" s="231"/>
    </row>
    <row r="34" spans="1:38" x14ac:dyDescent="0.25">
      <c r="A34" s="4" t="s">
        <v>1157</v>
      </c>
      <c r="C34" s="230">
        <f t="shared" si="0"/>
        <v>3000</v>
      </c>
      <c r="E34" s="231">
        <v>26</v>
      </c>
      <c r="F34" s="231">
        <v>7.2119999999999997</v>
      </c>
      <c r="G34" s="230">
        <v>10.352</v>
      </c>
      <c r="J34" s="230">
        <v>4000</v>
      </c>
      <c r="M34" s="231">
        <f>J34*F34/1000</f>
        <v>28.847999999999999</v>
      </c>
      <c r="N34" s="231"/>
      <c r="O34" s="231"/>
      <c r="P34" s="231">
        <f>(C34-J34)*G34/1000</f>
        <v>-10.352</v>
      </c>
      <c r="Q34" s="231"/>
      <c r="R34" s="231"/>
      <c r="S34" s="231"/>
      <c r="T34" s="231">
        <f>E34+M34+P34</f>
        <v>44.495999999999995</v>
      </c>
      <c r="U34" s="231"/>
      <c r="V34" s="231"/>
      <c r="W34" s="231"/>
      <c r="X34" s="231"/>
      <c r="Y34" s="231"/>
      <c r="Z34" s="231"/>
      <c r="AA34" s="231">
        <f>IF(C34&gt;J34,T34,E34+(F34*C34/1000))</f>
        <v>47.635999999999996</v>
      </c>
      <c r="AB34" s="231">
        <v>0</v>
      </c>
      <c r="AE34" s="232"/>
      <c r="AF34" s="232"/>
      <c r="AG34" s="232"/>
      <c r="AK34" s="231"/>
    </row>
    <row r="35" spans="1:38" ht="15" customHeight="1" x14ac:dyDescent="0.25">
      <c r="A35" s="4" t="s">
        <v>1158</v>
      </c>
      <c r="C35" s="230">
        <f t="shared" si="0"/>
        <v>3000</v>
      </c>
      <c r="E35" s="231">
        <v>26</v>
      </c>
      <c r="F35" s="231">
        <v>7.2119999999999997</v>
      </c>
      <c r="G35" s="230">
        <v>10.352</v>
      </c>
      <c r="J35" s="230">
        <v>4000</v>
      </c>
      <c r="M35" s="231">
        <f>J35*F35/1000</f>
        <v>28.847999999999999</v>
      </c>
      <c r="N35" s="231"/>
      <c r="O35" s="231"/>
      <c r="P35" s="231">
        <f>(C35-J35)*G35/1000</f>
        <v>-10.352</v>
      </c>
      <c r="Q35" s="231"/>
      <c r="R35" s="231"/>
      <c r="S35" s="231"/>
      <c r="T35" s="231">
        <f>E35+M35+P35</f>
        <v>44.495999999999995</v>
      </c>
      <c r="U35" s="231"/>
      <c r="V35" s="231"/>
      <c r="W35" s="231"/>
      <c r="X35" s="231"/>
      <c r="Y35" s="231"/>
      <c r="Z35" s="231"/>
      <c r="AA35" s="231">
        <f>IF(C35&gt;J35,T35,E35+(F35*C35/1000))</f>
        <v>47.635999999999996</v>
      </c>
      <c r="AB35" s="231">
        <v>0</v>
      </c>
      <c r="AE35" s="778" t="s">
        <v>1159</v>
      </c>
      <c r="AF35" s="778"/>
      <c r="AG35" s="232"/>
      <c r="AK35" s="231"/>
    </row>
    <row r="36" spans="1:38" x14ac:dyDescent="0.25">
      <c r="A36" s="4" t="s">
        <v>1160</v>
      </c>
      <c r="C36" s="230">
        <f t="shared" si="0"/>
        <v>3000</v>
      </c>
      <c r="E36" s="231">
        <v>26</v>
      </c>
      <c r="F36" s="231">
        <v>7.2119999999999997</v>
      </c>
      <c r="G36" s="230">
        <v>10.352</v>
      </c>
      <c r="J36" s="230">
        <v>4000</v>
      </c>
      <c r="M36" s="231">
        <f>J36*F36/1000</f>
        <v>28.847999999999999</v>
      </c>
      <c r="N36" s="231"/>
      <c r="O36" s="231"/>
      <c r="P36" s="231">
        <f>(C36-J36)*G36/1000</f>
        <v>-10.352</v>
      </c>
      <c r="Q36" s="231"/>
      <c r="R36" s="231"/>
      <c r="S36" s="231"/>
      <c r="T36" s="231">
        <f>E36+M36+P36</f>
        <v>44.495999999999995</v>
      </c>
      <c r="U36" s="231"/>
      <c r="V36" s="231"/>
      <c r="W36" s="231"/>
      <c r="X36" s="231"/>
      <c r="Y36" s="231"/>
      <c r="Z36" s="231"/>
      <c r="AA36" s="231">
        <f>IF(C36&gt;J36,T36,E36+(F36*C36/1000))</f>
        <v>47.635999999999996</v>
      </c>
      <c r="AB36" s="231">
        <v>0</v>
      </c>
      <c r="AE36" s="778"/>
      <c r="AF36" s="778"/>
      <c r="AG36" s="232"/>
      <c r="AK36" s="231"/>
    </row>
    <row r="37" spans="1:38" ht="15" customHeight="1" x14ac:dyDescent="0.25">
      <c r="A37" s="4" t="s">
        <v>1161</v>
      </c>
      <c r="B37" s="236">
        <v>42389</v>
      </c>
      <c r="C37" s="230">
        <f t="shared" si="0"/>
        <v>3000</v>
      </c>
      <c r="E37" s="231">
        <v>31.72</v>
      </c>
      <c r="F37" s="231">
        <v>3.67</v>
      </c>
      <c r="M37" s="231"/>
      <c r="N37" s="231"/>
      <c r="O37" s="231"/>
      <c r="P37" s="231"/>
      <c r="Q37" s="231"/>
      <c r="R37" s="231"/>
      <c r="S37" s="231"/>
      <c r="T37" s="231"/>
      <c r="U37" s="231"/>
      <c r="V37" s="231"/>
      <c r="W37" s="231"/>
      <c r="X37" s="231"/>
      <c r="Y37" s="231"/>
      <c r="Z37" s="231"/>
      <c r="AA37" s="231">
        <f>E37+(F37*C37)/1000</f>
        <v>42.73</v>
      </c>
      <c r="AB37" s="231">
        <v>0</v>
      </c>
      <c r="AE37" s="243"/>
      <c r="AF37" s="243"/>
      <c r="AG37" s="243"/>
      <c r="AJ37" s="243"/>
      <c r="AK37" s="231"/>
    </row>
    <row r="38" spans="1:38" x14ac:dyDescent="0.25">
      <c r="A38" s="4" t="s">
        <v>1162</v>
      </c>
      <c r="C38" s="230">
        <f t="shared" si="0"/>
        <v>3000</v>
      </c>
      <c r="E38" s="231">
        <v>12.73</v>
      </c>
      <c r="F38" s="231">
        <v>6.5279999999999996</v>
      </c>
      <c r="AA38" s="231">
        <f>E38+(C38*F38/1000)</f>
        <v>32.314</v>
      </c>
      <c r="AB38" s="231">
        <f>AA38*3</f>
        <v>96.942000000000007</v>
      </c>
      <c r="AE38" s="4" t="s">
        <v>1091</v>
      </c>
      <c r="AG38" s="243"/>
      <c r="AJ38" s="243"/>
      <c r="AK38" s="231"/>
      <c r="AL38" s="231"/>
    </row>
    <row r="39" spans="1:38" x14ac:dyDescent="0.25">
      <c r="A39" s="4" t="s">
        <v>1163</v>
      </c>
      <c r="B39" s="236">
        <v>42389</v>
      </c>
      <c r="C39" s="230">
        <f t="shared" si="0"/>
        <v>3000</v>
      </c>
      <c r="E39" s="231">
        <v>13.98</v>
      </c>
      <c r="F39" s="231">
        <v>4.266</v>
      </c>
      <c r="AA39" s="231">
        <f>E39+(F39*C39/1000)</f>
        <v>26.777999999999999</v>
      </c>
      <c r="AB39" s="231">
        <f>AA39*3</f>
        <v>80.334000000000003</v>
      </c>
      <c r="AK39" s="231"/>
      <c r="AL39" s="231"/>
    </row>
    <row r="40" spans="1:38" x14ac:dyDescent="0.25">
      <c r="A40" s="4" t="s">
        <v>1164</v>
      </c>
      <c r="B40" s="236">
        <v>42389</v>
      </c>
      <c r="C40" s="230">
        <f t="shared" si="0"/>
        <v>3000</v>
      </c>
      <c r="E40" s="231">
        <v>8.25</v>
      </c>
      <c r="F40" s="231">
        <v>4.266</v>
      </c>
      <c r="AA40" s="231">
        <f>E40+(F40*C40/1000)</f>
        <v>21.048000000000002</v>
      </c>
      <c r="AB40" s="231">
        <f>AA40*3</f>
        <v>63.144000000000005</v>
      </c>
      <c r="AG40" s="243"/>
      <c r="AJ40" s="243"/>
      <c r="AK40" s="231"/>
      <c r="AL40" s="231"/>
    </row>
    <row r="41" spans="1:38" x14ac:dyDescent="0.25">
      <c r="A41" s="4" t="s">
        <v>1165</v>
      </c>
      <c r="C41" s="230">
        <f t="shared" si="0"/>
        <v>3000</v>
      </c>
      <c r="E41" s="231">
        <v>30</v>
      </c>
      <c r="F41" s="231">
        <v>20</v>
      </c>
      <c r="AA41" s="231">
        <v>0</v>
      </c>
      <c r="AB41" s="231">
        <f>E41+(C41*3*F41/1000)</f>
        <v>210</v>
      </c>
      <c r="AG41" s="243"/>
      <c r="AJ41" s="243"/>
      <c r="AK41" s="231"/>
      <c r="AL41" s="231"/>
    </row>
    <row r="42" spans="1:38" x14ac:dyDescent="0.25">
      <c r="A42" s="4" t="s">
        <v>1166</v>
      </c>
      <c r="B42" s="235" t="s">
        <v>1121</v>
      </c>
      <c r="C42" s="230">
        <f t="shared" si="0"/>
        <v>3000</v>
      </c>
      <c r="E42" s="231">
        <v>151.1</v>
      </c>
      <c r="F42" s="231">
        <v>8.1</v>
      </c>
      <c r="M42" s="231"/>
      <c r="N42" s="231"/>
      <c r="O42" s="231"/>
      <c r="P42" s="231"/>
      <c r="Q42" s="231"/>
      <c r="R42" s="231"/>
      <c r="S42" s="231"/>
      <c r="T42" s="231"/>
      <c r="U42" s="231"/>
      <c r="V42" s="231"/>
      <c r="W42" s="231"/>
      <c r="X42" s="231"/>
      <c r="Y42" s="231"/>
      <c r="Z42" s="231"/>
      <c r="AA42" s="231">
        <v>0</v>
      </c>
      <c r="AB42" s="231">
        <f>E42+(F42*C42*3/1000)</f>
        <v>224</v>
      </c>
      <c r="AK42" s="231"/>
      <c r="AL42" s="231"/>
    </row>
    <row r="43" spans="1:38" x14ac:dyDescent="0.25">
      <c r="A43" s="4" t="s">
        <v>1167</v>
      </c>
      <c r="B43" s="238" t="s">
        <v>1121</v>
      </c>
      <c r="C43" s="230">
        <f t="shared" si="0"/>
        <v>3000</v>
      </c>
      <c r="D43" s="4"/>
      <c r="E43" s="231">
        <v>4.96</v>
      </c>
      <c r="F43" s="4">
        <f>1*1.33681</f>
        <v>1.3368100000000001</v>
      </c>
      <c r="G43" s="4">
        <f>0.75*1.33681</f>
        <v>1.0026075000000001</v>
      </c>
      <c r="H43" s="4"/>
      <c r="I43" s="4"/>
      <c r="J43" s="4">
        <f>20000*7.48052</f>
        <v>149610.4</v>
      </c>
      <c r="K43" s="4"/>
      <c r="L43" s="4"/>
      <c r="M43" s="231">
        <f>J43*F43/1000</f>
        <v>200.000678824</v>
      </c>
      <c r="N43" s="231"/>
      <c r="O43" s="231"/>
      <c r="P43" s="231">
        <f t="shared" ref="P43:P49" si="5">(C43-J43)*G43/1000</f>
        <v>-146.99268661799999</v>
      </c>
      <c r="Q43" s="231"/>
      <c r="R43" s="231"/>
      <c r="S43" s="231"/>
      <c r="T43" s="231">
        <f t="shared" ref="T43:T49" si="6">E43+M43+P43</f>
        <v>57.967992206000019</v>
      </c>
      <c r="U43" s="231"/>
      <c r="V43" s="231"/>
      <c r="W43" s="231"/>
      <c r="X43" s="231"/>
      <c r="Y43" s="231"/>
      <c r="Z43" s="231"/>
      <c r="AA43" s="231">
        <f>IF(C43&gt;J43,T43,E43+(F43*C43/1000))</f>
        <v>8.9704300000000003</v>
      </c>
      <c r="AB43" s="231">
        <v>0</v>
      </c>
      <c r="AK43" s="231"/>
      <c r="AL43" s="231"/>
    </row>
    <row r="44" spans="1:38" x14ac:dyDescent="0.25">
      <c r="A44" s="4" t="s">
        <v>1168</v>
      </c>
      <c r="B44" s="238" t="s">
        <v>1121</v>
      </c>
      <c r="C44" s="230">
        <f t="shared" si="0"/>
        <v>3000</v>
      </c>
      <c r="D44" s="4"/>
      <c r="E44" s="231">
        <v>18</v>
      </c>
      <c r="F44" s="231">
        <v>3.45</v>
      </c>
      <c r="G44" s="231">
        <v>2.73</v>
      </c>
      <c r="H44" s="231">
        <v>1.57</v>
      </c>
      <c r="J44" s="230">
        <v>10000</v>
      </c>
      <c r="K44" s="230">
        <v>15000</v>
      </c>
      <c r="M44" s="231">
        <f t="shared" ref="M44:N49" si="7">F44*J44/1000</f>
        <v>34.5</v>
      </c>
      <c r="N44" s="231">
        <f t="shared" si="7"/>
        <v>40.950000000000003</v>
      </c>
      <c r="O44" s="231"/>
      <c r="P44" s="231">
        <f t="shared" si="5"/>
        <v>-19.11</v>
      </c>
      <c r="Q44" s="231">
        <f t="shared" ref="Q44:Q49" si="8">(C44-J44-K44)*H44/1000</f>
        <v>-34.54</v>
      </c>
      <c r="R44" s="231"/>
      <c r="S44" s="231">
        <f t="shared" ref="S44:S49" si="9">E44+(C44*F44)/1000</f>
        <v>28.35</v>
      </c>
      <c r="T44" s="231">
        <f t="shared" si="6"/>
        <v>33.39</v>
      </c>
      <c r="U44" s="231">
        <f t="shared" ref="U44:U49" si="10">E44+M44+N44+Q44</f>
        <v>58.910000000000004</v>
      </c>
      <c r="W44" s="230" t="b">
        <f t="shared" ref="W44:W49" si="11">C44&lt;=J44</f>
        <v>1</v>
      </c>
      <c r="X44" s="230" t="b">
        <f t="shared" ref="X44:X49" si="12">AND(C44&lt;=(J44+K44),C44&gt;J44)</f>
        <v>0</v>
      </c>
      <c r="Y44" s="230" t="b">
        <f>C44&gt;(J44+K44)</f>
        <v>0</v>
      </c>
      <c r="AA44" s="245">
        <f>INDEX(S44:U44,MATCH(AC$7,W44:Y44,0))</f>
        <v>28.35</v>
      </c>
      <c r="AB44" s="231">
        <v>0</v>
      </c>
      <c r="AK44" s="231"/>
      <c r="AL44" s="231"/>
    </row>
    <row r="45" spans="1:38" x14ac:dyDescent="0.25">
      <c r="A45" s="4" t="s">
        <v>1169</v>
      </c>
      <c r="B45" s="238" t="s">
        <v>1121</v>
      </c>
      <c r="C45" s="230">
        <f t="shared" si="0"/>
        <v>3000</v>
      </c>
      <c r="D45" s="4"/>
      <c r="E45" s="231">
        <v>12</v>
      </c>
      <c r="F45" s="231">
        <v>3.45</v>
      </c>
      <c r="G45" s="231">
        <v>2.73</v>
      </c>
      <c r="H45" s="231">
        <v>1.57</v>
      </c>
      <c r="J45" s="230">
        <v>10000</v>
      </c>
      <c r="K45" s="230">
        <v>15000</v>
      </c>
      <c r="M45" s="231">
        <f t="shared" si="7"/>
        <v>34.5</v>
      </c>
      <c r="N45" s="231">
        <f t="shared" si="7"/>
        <v>40.950000000000003</v>
      </c>
      <c r="O45" s="231"/>
      <c r="P45" s="231">
        <f t="shared" si="5"/>
        <v>-19.11</v>
      </c>
      <c r="Q45" s="231">
        <f t="shared" si="8"/>
        <v>-34.54</v>
      </c>
      <c r="R45" s="231"/>
      <c r="S45" s="231">
        <f t="shared" si="9"/>
        <v>22.35</v>
      </c>
      <c r="T45" s="231">
        <f t="shared" si="6"/>
        <v>27.39</v>
      </c>
      <c r="U45" s="231">
        <f t="shared" si="10"/>
        <v>52.910000000000004</v>
      </c>
      <c r="W45" s="230" t="b">
        <f t="shared" si="11"/>
        <v>1</v>
      </c>
      <c r="X45" s="230" t="b">
        <f t="shared" si="12"/>
        <v>0</v>
      </c>
      <c r="Y45" s="230" t="b">
        <f>C45&gt;(J45+K45)</f>
        <v>0</v>
      </c>
      <c r="AA45" s="245">
        <f>INDEX(S45:U45,MATCH(AC$7,W45:Y45,0))</f>
        <v>22.35</v>
      </c>
      <c r="AB45" s="231">
        <v>0</v>
      </c>
      <c r="AK45" s="231"/>
      <c r="AL45" s="231"/>
    </row>
    <row r="46" spans="1:38" x14ac:dyDescent="0.25">
      <c r="A46" s="4" t="s">
        <v>1170</v>
      </c>
      <c r="B46" s="236">
        <v>42389</v>
      </c>
      <c r="C46" s="230">
        <f t="shared" si="0"/>
        <v>3000</v>
      </c>
      <c r="E46" s="231">
        <v>10.199999999999999</v>
      </c>
      <c r="F46" s="231">
        <v>7.35</v>
      </c>
      <c r="G46" s="231">
        <v>4.59</v>
      </c>
      <c r="H46" s="231">
        <v>1.74</v>
      </c>
      <c r="I46" s="231">
        <v>1.54</v>
      </c>
      <c r="J46" s="230">
        <v>1000</v>
      </c>
      <c r="K46" s="230">
        <v>4000</v>
      </c>
      <c r="L46" s="230">
        <v>45000</v>
      </c>
      <c r="M46" s="231">
        <f t="shared" si="7"/>
        <v>7.35</v>
      </c>
      <c r="N46" s="231">
        <f t="shared" si="7"/>
        <v>18.36</v>
      </c>
      <c r="O46" s="231">
        <f>H46*L46/1000</f>
        <v>78.3</v>
      </c>
      <c r="P46" s="231">
        <f t="shared" si="5"/>
        <v>9.18</v>
      </c>
      <c r="Q46" s="231">
        <f t="shared" si="8"/>
        <v>-3.48</v>
      </c>
      <c r="R46" s="231">
        <f>(C46-J46-K46-L46)*I46/1000</f>
        <v>-72.38</v>
      </c>
      <c r="S46" s="231">
        <f t="shared" si="9"/>
        <v>32.25</v>
      </c>
      <c r="T46" s="231">
        <f t="shared" si="6"/>
        <v>26.729999999999997</v>
      </c>
      <c r="U46" s="231">
        <f t="shared" si="10"/>
        <v>32.43</v>
      </c>
      <c r="V46" s="230">
        <f>E46+M46+N46+O46+R46</f>
        <v>41.83</v>
      </c>
      <c r="W46" s="230" t="b">
        <f t="shared" si="11"/>
        <v>0</v>
      </c>
      <c r="X46" s="230" t="b">
        <f t="shared" si="12"/>
        <v>1</v>
      </c>
      <c r="Y46" s="230" t="b">
        <f>AND(C46&lt;=(J46+K46+L46),C46&gt;J46)</f>
        <v>1</v>
      </c>
      <c r="Z46" s="230" t="b">
        <f>C46&gt;(J46+K46+L46)</f>
        <v>0</v>
      </c>
      <c r="AA46" s="231">
        <f>INDEX(S46:V46,MATCH(AC$7,W46:Z46,0))</f>
        <v>26.729999999999997</v>
      </c>
      <c r="AB46" s="231">
        <f>AA46*3</f>
        <v>80.19</v>
      </c>
      <c r="AK46" s="231"/>
      <c r="AL46" s="231"/>
    </row>
    <row r="47" spans="1:38" x14ac:dyDescent="0.25">
      <c r="A47" s="4" t="s">
        <v>1171</v>
      </c>
      <c r="B47" s="236">
        <v>42389</v>
      </c>
      <c r="C47" s="230">
        <f t="shared" si="0"/>
        <v>3000</v>
      </c>
      <c r="E47" s="231">
        <v>6.8</v>
      </c>
      <c r="F47" s="231">
        <v>7.35</v>
      </c>
      <c r="G47" s="231">
        <v>4.59</v>
      </c>
      <c r="H47" s="231">
        <v>1.74</v>
      </c>
      <c r="I47" s="231">
        <v>1.54</v>
      </c>
      <c r="J47" s="230">
        <v>1000</v>
      </c>
      <c r="K47" s="230">
        <v>4000</v>
      </c>
      <c r="L47" s="230">
        <v>45000</v>
      </c>
      <c r="M47" s="231">
        <f t="shared" si="7"/>
        <v>7.35</v>
      </c>
      <c r="N47" s="231">
        <f t="shared" si="7"/>
        <v>18.36</v>
      </c>
      <c r="O47" s="231">
        <f>H47*L47/1000</f>
        <v>78.3</v>
      </c>
      <c r="P47" s="231">
        <f t="shared" si="5"/>
        <v>9.18</v>
      </c>
      <c r="Q47" s="231">
        <f t="shared" si="8"/>
        <v>-3.48</v>
      </c>
      <c r="R47" s="231">
        <f>(C47-J47-K47-L47)*I47/1000</f>
        <v>-72.38</v>
      </c>
      <c r="S47" s="231">
        <f t="shared" si="9"/>
        <v>28.85</v>
      </c>
      <c r="T47" s="231">
        <f t="shared" si="6"/>
        <v>23.33</v>
      </c>
      <c r="U47" s="231">
        <f t="shared" si="10"/>
        <v>29.029999999999998</v>
      </c>
      <c r="V47" s="230">
        <f>E47+M47+N47+O47+R47</f>
        <v>38.430000000000007</v>
      </c>
      <c r="W47" s="230" t="b">
        <f t="shared" si="11"/>
        <v>0</v>
      </c>
      <c r="X47" s="230" t="b">
        <f t="shared" si="12"/>
        <v>1</v>
      </c>
      <c r="Y47" s="230" t="b">
        <f>AND(C47&lt;=(J47+K47+L47),C47&gt;J47)</f>
        <v>1</v>
      </c>
      <c r="Z47" s="230" t="b">
        <f>C47&gt;(J47+K47+L47)</f>
        <v>0</v>
      </c>
      <c r="AA47" s="231">
        <f>INDEX(S47:V47,MATCH(AC$7,W47:Z47,0))</f>
        <v>23.33</v>
      </c>
      <c r="AB47" s="231">
        <f>AA47*3</f>
        <v>69.989999999999995</v>
      </c>
      <c r="AK47" s="231"/>
      <c r="AL47" s="231"/>
    </row>
    <row r="48" spans="1:38" x14ac:dyDescent="0.25">
      <c r="A48" s="4" t="s">
        <v>1172</v>
      </c>
      <c r="B48" s="236">
        <v>42389</v>
      </c>
      <c r="C48" s="230">
        <f t="shared" si="0"/>
        <v>3000</v>
      </c>
      <c r="E48" s="231">
        <f>14.05+8.18</f>
        <v>22.23</v>
      </c>
      <c r="F48" s="231">
        <v>6.47</v>
      </c>
      <c r="G48" s="231">
        <v>2.4900000000000002</v>
      </c>
      <c r="H48" s="231">
        <v>1.75</v>
      </c>
      <c r="J48" s="230">
        <v>10000</v>
      </c>
      <c r="K48" s="230">
        <v>240000</v>
      </c>
      <c r="M48" s="230">
        <f t="shared" si="7"/>
        <v>64.7</v>
      </c>
      <c r="N48" s="230">
        <f t="shared" si="7"/>
        <v>597.6</v>
      </c>
      <c r="P48" s="230">
        <f t="shared" si="5"/>
        <v>-17.43</v>
      </c>
      <c r="Q48" s="230">
        <f t="shared" si="8"/>
        <v>-432.25</v>
      </c>
      <c r="S48" s="230">
        <f t="shared" si="9"/>
        <v>41.64</v>
      </c>
      <c r="T48" s="230">
        <f t="shared" si="6"/>
        <v>69.5</v>
      </c>
      <c r="U48" s="230">
        <f t="shared" si="10"/>
        <v>252.27999999999997</v>
      </c>
      <c r="W48" s="230" t="b">
        <f t="shared" si="11"/>
        <v>1</v>
      </c>
      <c r="X48" s="230" t="b">
        <f t="shared" si="12"/>
        <v>0</v>
      </c>
      <c r="Y48" s="230" t="b">
        <f>C48&gt;(J48+K48)</f>
        <v>0</v>
      </c>
      <c r="AA48" s="231">
        <f>INDEX(S48:U48,MATCH(AC$7,W48:Y48,0))</f>
        <v>41.64</v>
      </c>
      <c r="AB48" s="231">
        <v>0</v>
      </c>
      <c r="AK48" s="231"/>
      <c r="AL48" s="231"/>
    </row>
    <row r="49" spans="1:38" x14ac:dyDescent="0.25">
      <c r="A49" s="4" t="s">
        <v>1173</v>
      </c>
      <c r="B49" s="236">
        <v>42389</v>
      </c>
      <c r="C49" s="230">
        <f t="shared" si="0"/>
        <v>3000</v>
      </c>
      <c r="E49" s="231">
        <f>9.35+8.18</f>
        <v>17.53</v>
      </c>
      <c r="F49" s="231">
        <v>6.47</v>
      </c>
      <c r="G49" s="231">
        <v>2.4900000000000002</v>
      </c>
      <c r="H49" s="231">
        <v>1.75</v>
      </c>
      <c r="J49" s="230">
        <v>10000</v>
      </c>
      <c r="K49" s="230">
        <v>240000</v>
      </c>
      <c r="M49" s="230">
        <f t="shared" si="7"/>
        <v>64.7</v>
      </c>
      <c r="N49" s="230">
        <f t="shared" si="7"/>
        <v>597.6</v>
      </c>
      <c r="P49" s="230">
        <f t="shared" si="5"/>
        <v>-17.43</v>
      </c>
      <c r="Q49" s="230">
        <f t="shared" si="8"/>
        <v>-432.25</v>
      </c>
      <c r="S49" s="230">
        <f t="shared" si="9"/>
        <v>36.94</v>
      </c>
      <c r="T49" s="230">
        <f t="shared" si="6"/>
        <v>64.800000000000011</v>
      </c>
      <c r="U49" s="230">
        <f t="shared" si="10"/>
        <v>247.58000000000004</v>
      </c>
      <c r="W49" s="230" t="b">
        <f t="shared" si="11"/>
        <v>1</v>
      </c>
      <c r="X49" s="230" t="b">
        <f t="shared" si="12"/>
        <v>0</v>
      </c>
      <c r="Y49" s="230" t="b">
        <f>C49&gt;(J49+K49)</f>
        <v>0</v>
      </c>
      <c r="AA49" s="231">
        <f>INDEX(S49:U49,MATCH(AC$7,W49:Y49,0))</f>
        <v>36.94</v>
      </c>
      <c r="AB49" s="231">
        <v>0</v>
      </c>
      <c r="AC49" s="246"/>
      <c r="AD49" s="246"/>
      <c r="AK49" s="231"/>
      <c r="AL49" s="231"/>
    </row>
    <row r="50" spans="1:38" x14ac:dyDescent="0.25">
      <c r="A50" s="4" t="s">
        <v>1174</v>
      </c>
      <c r="B50" s="236">
        <v>42443</v>
      </c>
      <c r="C50" s="230">
        <f t="shared" si="0"/>
        <v>3000</v>
      </c>
      <c r="E50" s="231">
        <v>5</v>
      </c>
      <c r="F50" s="231">
        <v>2.9</v>
      </c>
      <c r="G50" s="231"/>
      <c r="H50" s="231"/>
      <c r="AA50" s="231">
        <f>E50+(F50*C50)/1000</f>
        <v>13.7</v>
      </c>
      <c r="AB50" s="231">
        <v>0</v>
      </c>
      <c r="AG50" s="230"/>
      <c r="AH50" s="231"/>
      <c r="AI50" s="244"/>
      <c r="AJ50" s="231"/>
      <c r="AK50" s="231"/>
      <c r="AL50" s="231"/>
    </row>
    <row r="51" spans="1:38" x14ac:dyDescent="0.25">
      <c r="A51" s="4" t="s">
        <v>1175</v>
      </c>
      <c r="C51" s="230">
        <f t="shared" si="0"/>
        <v>3000</v>
      </c>
      <c r="AA51" s="231">
        <v>15</v>
      </c>
      <c r="AB51" s="231">
        <v>0</v>
      </c>
      <c r="AK51" s="231"/>
      <c r="AL51" s="231"/>
    </row>
    <row r="52" spans="1:38" x14ac:dyDescent="0.25">
      <c r="A52" s="4" t="s">
        <v>1176</v>
      </c>
      <c r="B52" s="238" t="s">
        <v>1121</v>
      </c>
      <c r="C52" s="230">
        <f t="shared" si="0"/>
        <v>3000</v>
      </c>
      <c r="D52" s="4"/>
      <c r="E52" s="4"/>
      <c r="F52" s="4">
        <v>5.85</v>
      </c>
      <c r="G52" s="231">
        <v>0.65</v>
      </c>
      <c r="J52" s="230">
        <v>9000</v>
      </c>
      <c r="K52" s="4"/>
      <c r="M52" s="231">
        <f>IF(C52&lt;=J52,(C52*F52/1000),(9*F52))</f>
        <v>17.55</v>
      </c>
      <c r="N52" s="231">
        <f>IF(C52&lt;=J52,0,((C52-J52)*G52/1000))</f>
        <v>0</v>
      </c>
      <c r="P52" s="4"/>
      <c r="S52" s="230">
        <f>C52*F52/1000</f>
        <v>17.55</v>
      </c>
      <c r="U52" s="4"/>
      <c r="Z52" s="4"/>
      <c r="AA52" s="247">
        <f>SUM(M52:N52)</f>
        <v>17.55</v>
      </c>
      <c r="AB52" s="231">
        <v>0</v>
      </c>
      <c r="AK52" s="231"/>
      <c r="AL52" s="231"/>
    </row>
    <row r="53" spans="1:38" x14ac:dyDescent="0.25">
      <c r="A53" s="4" t="s">
        <v>1177</v>
      </c>
      <c r="B53" s="235" t="s">
        <v>1121</v>
      </c>
      <c r="C53" s="230">
        <f t="shared" si="0"/>
        <v>3000</v>
      </c>
      <c r="E53" s="231">
        <v>6.5</v>
      </c>
      <c r="F53" s="231">
        <v>7.8</v>
      </c>
      <c r="G53" s="237"/>
      <c r="H53" s="237"/>
      <c r="M53" s="231"/>
      <c r="N53" s="231"/>
      <c r="O53" s="231"/>
      <c r="P53" s="231"/>
      <c r="Q53" s="231"/>
      <c r="R53" s="231"/>
      <c r="S53" s="231"/>
      <c r="T53" s="231"/>
      <c r="U53" s="231"/>
      <c r="V53" s="231"/>
      <c r="W53" s="231"/>
      <c r="X53" s="231"/>
      <c r="Y53" s="231"/>
      <c r="Z53" s="231"/>
      <c r="AA53" s="231">
        <f>E53+(F53*C53/1000)</f>
        <v>29.9</v>
      </c>
      <c r="AB53" s="231">
        <v>0</v>
      </c>
      <c r="AC53" s="246"/>
      <c r="AD53" s="246"/>
      <c r="AK53" s="231"/>
      <c r="AL53" s="231"/>
    </row>
    <row r="54" spans="1:38" x14ac:dyDescent="0.25">
      <c r="A54" s="4" t="s">
        <v>1178</v>
      </c>
      <c r="B54" s="236">
        <v>42388</v>
      </c>
      <c r="C54" s="230">
        <f t="shared" si="0"/>
        <v>3000</v>
      </c>
      <c r="E54" s="231">
        <v>6</v>
      </c>
      <c r="F54" s="231">
        <v>5.15</v>
      </c>
      <c r="G54" s="231">
        <v>3.77</v>
      </c>
      <c r="H54" s="231"/>
      <c r="I54" s="231"/>
      <c r="J54" s="230">
        <v>100000</v>
      </c>
      <c r="M54" s="231">
        <f>J54*F54/1000</f>
        <v>515.00000000000011</v>
      </c>
      <c r="N54" s="231"/>
      <c r="O54" s="231"/>
      <c r="P54" s="231">
        <f>(C54-J54)*G54/1000</f>
        <v>-365.69</v>
      </c>
      <c r="Q54" s="231"/>
      <c r="R54" s="231"/>
      <c r="S54" s="231"/>
      <c r="T54" s="231">
        <f>E54+M54+P54</f>
        <v>155.31000000000012</v>
      </c>
      <c r="U54" s="231"/>
      <c r="V54" s="231"/>
      <c r="W54" s="231"/>
      <c r="X54" s="231"/>
      <c r="Y54" s="231"/>
      <c r="Z54" s="231"/>
      <c r="AA54" s="231">
        <f>IF(C54&gt;J54,T54,E54+(F54*C54/1000))</f>
        <v>21.450000000000003</v>
      </c>
      <c r="AB54" s="231">
        <f>AA54*3</f>
        <v>64.350000000000009</v>
      </c>
      <c r="AC54" s="246"/>
      <c r="AD54" s="246"/>
      <c r="AK54" s="231"/>
      <c r="AL54" s="231"/>
    </row>
    <row r="55" spans="1:38" x14ac:dyDescent="0.25">
      <c r="A55" s="4" t="s">
        <v>1179</v>
      </c>
      <c r="B55" s="238" t="s">
        <v>1121</v>
      </c>
      <c r="C55" s="230">
        <f t="shared" si="0"/>
        <v>3000</v>
      </c>
      <c r="D55" s="4"/>
      <c r="E55" s="231">
        <v>30</v>
      </c>
      <c r="F55" s="231">
        <v>4</v>
      </c>
      <c r="G55" s="231">
        <v>1.7</v>
      </c>
      <c r="H55" s="231">
        <v>1</v>
      </c>
      <c r="J55" s="230">
        <v>7500</v>
      </c>
      <c r="K55" s="230">
        <v>49500</v>
      </c>
      <c r="M55" s="231">
        <f>F55*J55/1000</f>
        <v>30</v>
      </c>
      <c r="N55" s="231">
        <f>G55*K55/1000</f>
        <v>84.15</v>
      </c>
      <c r="O55" s="231"/>
      <c r="P55" s="231">
        <f>((C55*3)-J55)*G55/1000</f>
        <v>2.5499999999999998</v>
      </c>
      <c r="Q55" s="231">
        <f>((C55*3)-J55-K55)*H55/1000</f>
        <v>-48</v>
      </c>
      <c r="R55" s="231"/>
      <c r="S55" s="231">
        <f>E55+(C55*3*F55)/1000</f>
        <v>66</v>
      </c>
      <c r="T55" s="231">
        <f>E55+M55+P55</f>
        <v>62.55</v>
      </c>
      <c r="U55" s="231">
        <f>E55+M55+N55+Q55</f>
        <v>96.15</v>
      </c>
      <c r="W55" s="230" t="b">
        <f>C55*3&lt;=J55</f>
        <v>0</v>
      </c>
      <c r="X55" s="230" t="b">
        <f>AND(C55*3&lt;=(J55+K55),C55*3&gt;J55)</f>
        <v>1</v>
      </c>
      <c r="Y55" s="230" t="b">
        <f>C55*3&gt;(J55+K55)</f>
        <v>0</v>
      </c>
      <c r="AA55" s="245">
        <v>0</v>
      </c>
      <c r="AB55" s="231">
        <f>INDEX(S55:U55,MATCH(AC$7,W55:Y55,0))</f>
        <v>62.55</v>
      </c>
      <c r="AC55" s="246"/>
      <c r="AD55" s="246"/>
      <c r="AG55" s="230"/>
      <c r="AH55" s="231"/>
      <c r="AI55" s="231"/>
      <c r="AJ55" s="231"/>
      <c r="AK55" s="231"/>
      <c r="AL55" s="231"/>
    </row>
    <row r="56" spans="1:38" x14ac:dyDescent="0.25">
      <c r="A56" s="4" t="s">
        <v>1180</v>
      </c>
      <c r="C56" s="230">
        <f t="shared" si="0"/>
        <v>3000</v>
      </c>
      <c r="E56" s="231">
        <v>6</v>
      </c>
      <c r="F56" s="231">
        <v>6.26</v>
      </c>
      <c r="AA56" s="231">
        <f>E56+(C56*F56/1000)</f>
        <v>24.78</v>
      </c>
      <c r="AB56" s="231">
        <v>0</v>
      </c>
      <c r="AK56" s="231"/>
      <c r="AL56" s="231"/>
    </row>
    <row r="57" spans="1:38" x14ac:dyDescent="0.25">
      <c r="A57" s="4" t="s">
        <v>1181</v>
      </c>
      <c r="B57" s="236">
        <v>42389</v>
      </c>
      <c r="C57" s="230">
        <f t="shared" si="0"/>
        <v>3000</v>
      </c>
      <c r="E57" s="231">
        <v>13.8</v>
      </c>
      <c r="F57" s="231">
        <v>5.2</v>
      </c>
      <c r="AA57" s="231">
        <v>0</v>
      </c>
      <c r="AB57" s="231">
        <f>E57+(F57*C57*3/1000)</f>
        <v>60.599999999999994</v>
      </c>
      <c r="AK57" s="231"/>
      <c r="AL57" s="231"/>
    </row>
    <row r="58" spans="1:38" x14ac:dyDescent="0.25">
      <c r="A58" s="4" t="s">
        <v>1182</v>
      </c>
      <c r="B58" s="236">
        <v>42389</v>
      </c>
      <c r="C58" s="230">
        <f t="shared" si="0"/>
        <v>3000</v>
      </c>
      <c r="D58" s="230">
        <f>C58*0.133681*3</f>
        <v>1203.1289999999999</v>
      </c>
      <c r="E58" s="231">
        <v>54</v>
      </c>
      <c r="F58" s="231">
        <v>9.0399999999999991</v>
      </c>
      <c r="G58" s="231">
        <v>6.01</v>
      </c>
      <c r="H58" s="231">
        <v>4.18</v>
      </c>
      <c r="J58" s="230">
        <v>3000</v>
      </c>
      <c r="K58" s="230">
        <v>30000</v>
      </c>
      <c r="M58" s="230">
        <f>F58*J58/100</f>
        <v>271.2</v>
      </c>
      <c r="N58" s="230">
        <f>G58*K58/100</f>
        <v>1803</v>
      </c>
      <c r="P58" s="230">
        <f>(D58-J58)*G58/100</f>
        <v>-107.9919471</v>
      </c>
      <c r="Q58" s="230">
        <f>((D58-J58-K58)*H58)/100</f>
        <v>-1329.1092077999999</v>
      </c>
      <c r="S58" s="230">
        <f>E58+(D58*F58/100)</f>
        <v>162.76286159999998</v>
      </c>
      <c r="T58" s="230">
        <f>E58+M58+P58</f>
        <v>217.20805289999998</v>
      </c>
      <c r="U58" s="230">
        <f>E58+M58+N58+Q58</f>
        <v>799.0907921999999</v>
      </c>
      <c r="W58" s="230" t="b">
        <f>D58&lt;=J58</f>
        <v>1</v>
      </c>
      <c r="X58" s="230" t="b">
        <f>AND(D58&lt;=(J58+K58),D58&gt;J58)</f>
        <v>0</v>
      </c>
      <c r="Y58" s="230" t="b">
        <f>D58&gt;(J58+K58)</f>
        <v>0</v>
      </c>
      <c r="AA58" s="231">
        <v>0</v>
      </c>
      <c r="AB58" s="231">
        <f>INDEX(S58:U58,MATCH(AC$7,W58:Y58,0))</f>
        <v>162.76286159999998</v>
      </c>
      <c r="AC58" s="4"/>
      <c r="AD58" s="4"/>
      <c r="AK58" s="231"/>
      <c r="AL58" s="231"/>
    </row>
    <row r="59" spans="1:38" x14ac:dyDescent="0.25">
      <c r="A59" s="4" t="s">
        <v>1183</v>
      </c>
      <c r="B59" s="236">
        <v>42389</v>
      </c>
      <c r="C59" s="230">
        <f t="shared" si="0"/>
        <v>3000</v>
      </c>
      <c r="D59" s="230">
        <f>C59*0.133681*3</f>
        <v>1203.1289999999999</v>
      </c>
      <c r="E59" s="231">
        <v>36</v>
      </c>
      <c r="F59" s="231">
        <v>9.0399999999999991</v>
      </c>
      <c r="G59" s="231">
        <v>6.01</v>
      </c>
      <c r="H59" s="231">
        <v>4.18</v>
      </c>
      <c r="J59" s="230">
        <v>3000</v>
      </c>
      <c r="K59" s="230">
        <v>30000</v>
      </c>
      <c r="M59" s="230">
        <f>F59*J59/100</f>
        <v>271.2</v>
      </c>
      <c r="N59" s="230">
        <f>G59*K59/100</f>
        <v>1803</v>
      </c>
      <c r="P59" s="230">
        <f>(D59-J59)*G59/100</f>
        <v>-107.9919471</v>
      </c>
      <c r="Q59" s="230">
        <f>((D59-J59-K59)*H59)/100</f>
        <v>-1329.1092077999999</v>
      </c>
      <c r="S59" s="230">
        <f>E59+(D59*F59/100)</f>
        <v>144.76286159999998</v>
      </c>
      <c r="T59" s="230">
        <f>E59+M59+P59</f>
        <v>199.20805289999998</v>
      </c>
      <c r="U59" s="230">
        <f>E59+M59+N59+Q59</f>
        <v>781.0907921999999</v>
      </c>
      <c r="W59" s="230" t="b">
        <f>D59&lt;=J59</f>
        <v>1</v>
      </c>
      <c r="X59" s="230" t="b">
        <f>AND(D59&lt;=(J59+K59),D59&gt;J59)</f>
        <v>0</v>
      </c>
      <c r="Y59" s="230" t="b">
        <f>D59&gt;(J59+K59)</f>
        <v>0</v>
      </c>
      <c r="AA59" s="231">
        <v>0</v>
      </c>
      <c r="AB59" s="231">
        <f>INDEX(S59:U59,MATCH(AC$7,W59:Y59,0))</f>
        <v>144.76286159999998</v>
      </c>
      <c r="AC59" s="4"/>
      <c r="AD59" s="4"/>
      <c r="AK59" s="231"/>
      <c r="AL59" s="231"/>
    </row>
    <row r="60" spans="1:38" x14ac:dyDescent="0.25">
      <c r="A60" s="4" t="s">
        <v>1184</v>
      </c>
      <c r="B60" s="235" t="s">
        <v>1121</v>
      </c>
      <c r="C60" s="230">
        <f t="shared" si="0"/>
        <v>3000</v>
      </c>
      <c r="E60" s="231">
        <v>4.1900000000000004</v>
      </c>
      <c r="F60" s="231">
        <v>2.13</v>
      </c>
      <c r="G60" s="231"/>
      <c r="H60" s="231"/>
      <c r="I60" s="231"/>
      <c r="J60" s="231"/>
      <c r="K60" s="231"/>
      <c r="L60" s="231"/>
      <c r="M60" s="231"/>
      <c r="N60" s="231"/>
      <c r="O60" s="231"/>
      <c r="AA60" s="231">
        <f>E60+(F60*C60/1000)</f>
        <v>10.58</v>
      </c>
      <c r="AB60" s="231">
        <f>(E60*3)+(F60*C60*3/1000)</f>
        <v>31.740000000000002</v>
      </c>
      <c r="AC60" s="4"/>
      <c r="AD60" s="4"/>
      <c r="AK60" s="231"/>
      <c r="AL60" s="231"/>
    </row>
    <row r="61" spans="1:38" x14ac:dyDescent="0.25">
      <c r="A61" s="4" t="s">
        <v>1185</v>
      </c>
      <c r="C61" s="230">
        <f t="shared" si="0"/>
        <v>3000</v>
      </c>
      <c r="E61" s="231">
        <v>19.5</v>
      </c>
      <c r="F61" s="231">
        <v>4.25</v>
      </c>
      <c r="J61" s="230">
        <v>3000</v>
      </c>
      <c r="AA61" s="231">
        <f>IF(C61&lt;=J61,E61,(E61+(C61-J61)*F61/1000))</f>
        <v>19.5</v>
      </c>
      <c r="AB61" s="231">
        <v>0</v>
      </c>
      <c r="AC61" s="4"/>
      <c r="AD61" s="4"/>
      <c r="AK61" s="231"/>
      <c r="AL61" s="231"/>
    </row>
    <row r="62" spans="1:38" x14ac:dyDescent="0.25">
      <c r="A62" s="4" t="s">
        <v>1186</v>
      </c>
      <c r="B62" s="235" t="s">
        <v>1121</v>
      </c>
      <c r="C62" s="230">
        <f t="shared" si="0"/>
        <v>3000</v>
      </c>
      <c r="E62" s="231">
        <v>20</v>
      </c>
      <c r="M62" s="231"/>
      <c r="N62" s="231"/>
      <c r="O62" s="231"/>
      <c r="P62" s="231"/>
      <c r="Q62" s="231"/>
      <c r="R62" s="231"/>
      <c r="S62" s="231"/>
      <c r="T62" s="231"/>
      <c r="U62" s="231"/>
      <c r="V62" s="231"/>
      <c r="W62" s="231"/>
      <c r="X62" s="231"/>
      <c r="Y62" s="231"/>
      <c r="Z62" s="231"/>
      <c r="AA62" s="231">
        <f>E62+(F62*C62/1000)</f>
        <v>20</v>
      </c>
      <c r="AB62" s="231">
        <v>0</v>
      </c>
      <c r="AC62" s="246"/>
      <c r="AD62" s="246"/>
      <c r="AK62" s="231"/>
      <c r="AL62" s="231"/>
    </row>
    <row r="63" spans="1:38" x14ac:dyDescent="0.25">
      <c r="A63" s="4" t="s">
        <v>1187</v>
      </c>
      <c r="B63" s="236">
        <v>42443</v>
      </c>
      <c r="C63" s="230">
        <f t="shared" si="0"/>
        <v>3000</v>
      </c>
      <c r="E63" s="231">
        <v>29.96</v>
      </c>
      <c r="F63" s="231">
        <v>11.18</v>
      </c>
      <c r="AA63" s="231">
        <f>E63+(F63*C63)/1000</f>
        <v>63.5</v>
      </c>
      <c r="AB63" s="231">
        <v>0</v>
      </c>
      <c r="AC63" s="246"/>
      <c r="AD63" s="246"/>
      <c r="AK63" s="231"/>
      <c r="AL63" s="231"/>
    </row>
    <row r="64" spans="1:38" x14ac:dyDescent="0.25">
      <c r="A64" s="4" t="s">
        <v>1188</v>
      </c>
      <c r="B64" s="236">
        <v>42443</v>
      </c>
      <c r="C64" s="230">
        <f t="shared" si="0"/>
        <v>3000</v>
      </c>
      <c r="E64" s="231">
        <v>19.97</v>
      </c>
      <c r="F64" s="231">
        <v>11.18</v>
      </c>
      <c r="AA64" s="231">
        <f>E64+(F64*C64)/1000</f>
        <v>53.51</v>
      </c>
      <c r="AB64" s="231">
        <v>0</v>
      </c>
      <c r="AC64" s="246"/>
      <c r="AD64" s="246"/>
      <c r="AK64" s="231"/>
      <c r="AL64" s="231"/>
    </row>
    <row r="65" spans="1:38" x14ac:dyDescent="0.25">
      <c r="A65" s="4" t="s">
        <v>1189</v>
      </c>
      <c r="B65" s="235" t="s">
        <v>1121</v>
      </c>
      <c r="C65" s="230">
        <f t="shared" si="0"/>
        <v>3000</v>
      </c>
      <c r="E65" s="231">
        <v>21</v>
      </c>
      <c r="M65" s="231"/>
      <c r="N65" s="231"/>
      <c r="O65" s="231"/>
      <c r="P65" s="231"/>
      <c r="Q65" s="231"/>
      <c r="R65" s="231"/>
      <c r="S65" s="231"/>
      <c r="T65" s="231"/>
      <c r="U65" s="231"/>
      <c r="V65" s="231"/>
      <c r="W65" s="231"/>
      <c r="X65" s="231"/>
      <c r="Y65" s="231"/>
      <c r="Z65" s="231"/>
      <c r="AA65" s="231">
        <f>E65+(F65*C65/1000)</f>
        <v>21</v>
      </c>
      <c r="AB65" s="231">
        <v>0</v>
      </c>
      <c r="AC65" s="246"/>
      <c r="AD65" s="246"/>
      <c r="AK65" s="231"/>
      <c r="AL65" s="231"/>
    </row>
    <row r="66" spans="1:38" x14ac:dyDescent="0.25">
      <c r="A66" s="4" t="s">
        <v>1190</v>
      </c>
      <c r="B66" s="236">
        <v>42388</v>
      </c>
      <c r="C66" s="230">
        <f t="shared" si="0"/>
        <v>3000</v>
      </c>
      <c r="E66" s="231">
        <v>36.72</v>
      </c>
      <c r="F66" s="231">
        <v>3.8540000000000001</v>
      </c>
      <c r="G66" s="244"/>
      <c r="H66" s="244"/>
      <c r="I66" s="244"/>
      <c r="J66" s="244"/>
      <c r="K66" s="244"/>
      <c r="L66" s="244"/>
      <c r="M66" s="244"/>
      <c r="N66" s="244"/>
      <c r="O66" s="244"/>
      <c r="P66" s="244"/>
      <c r="Q66" s="244"/>
      <c r="R66" s="244"/>
      <c r="S66" s="244"/>
      <c r="T66" s="244"/>
      <c r="U66" s="244"/>
      <c r="V66" s="244"/>
      <c r="W66" s="244"/>
      <c r="X66" s="244"/>
      <c r="Y66" s="244"/>
      <c r="Z66" s="244"/>
      <c r="AA66" s="231">
        <v>0</v>
      </c>
      <c r="AB66" s="231">
        <f>E66+(C66*3*F66/1000)</f>
        <v>71.406000000000006</v>
      </c>
      <c r="AC66" s="246"/>
      <c r="AD66" s="246"/>
      <c r="AK66" s="231"/>
      <c r="AL66" s="231"/>
    </row>
    <row r="67" spans="1:38" x14ac:dyDescent="0.25">
      <c r="A67" s="4" t="s">
        <v>1191</v>
      </c>
      <c r="B67" s="236">
        <v>42388</v>
      </c>
      <c r="C67" s="230">
        <f t="shared" ref="C67:C130" si="13">AE$10</f>
        <v>3000</v>
      </c>
      <c r="E67" s="231">
        <v>26.55</v>
      </c>
      <c r="F67" s="231">
        <v>3.8540000000000001</v>
      </c>
      <c r="G67" s="244"/>
      <c r="H67" s="244"/>
      <c r="I67" s="244"/>
      <c r="J67" s="244"/>
      <c r="K67" s="244"/>
      <c r="L67" s="244"/>
      <c r="M67" s="244"/>
      <c r="N67" s="244"/>
      <c r="O67" s="244"/>
      <c r="P67" s="244"/>
      <c r="Q67" s="244"/>
      <c r="R67" s="244"/>
      <c r="S67" s="244"/>
      <c r="T67" s="244"/>
      <c r="U67" s="244"/>
      <c r="V67" s="244"/>
      <c r="W67" s="244"/>
      <c r="X67" s="244"/>
      <c r="Y67" s="244"/>
      <c r="Z67" s="244"/>
      <c r="AA67" s="231">
        <v>0</v>
      </c>
      <c r="AB67" s="231">
        <f>E67+(C67*3*F67/1000)</f>
        <v>61.236000000000004</v>
      </c>
      <c r="AC67" s="246"/>
      <c r="AD67" s="246"/>
      <c r="AK67" s="231"/>
      <c r="AL67" s="231"/>
    </row>
    <row r="68" spans="1:38" x14ac:dyDescent="0.25">
      <c r="A68" s="4" t="s">
        <v>1192</v>
      </c>
      <c r="B68" s="238" t="s">
        <v>1121</v>
      </c>
      <c r="C68" s="230">
        <f t="shared" si="13"/>
        <v>3000</v>
      </c>
      <c r="D68" s="4"/>
      <c r="E68" s="231">
        <v>12</v>
      </c>
      <c r="F68" s="4">
        <v>6.97</v>
      </c>
      <c r="G68" s="4">
        <v>5.75</v>
      </c>
      <c r="H68" s="4"/>
      <c r="I68" s="4"/>
      <c r="J68" s="4">
        <v>30000</v>
      </c>
      <c r="K68" s="4"/>
      <c r="L68" s="4"/>
      <c r="M68" s="231">
        <f>J68*F68/1000</f>
        <v>209.1</v>
      </c>
      <c r="N68" s="231"/>
      <c r="O68" s="231"/>
      <c r="P68" s="231">
        <f>((C68*3)-J68)*G68/1000</f>
        <v>-120.75</v>
      </c>
      <c r="Q68" s="231"/>
      <c r="R68" s="231"/>
      <c r="S68" s="231"/>
      <c r="T68" s="231">
        <f>E68+M68+P68</f>
        <v>100.35</v>
      </c>
      <c r="U68" s="231"/>
      <c r="V68" s="231"/>
      <c r="W68" s="231"/>
      <c r="X68" s="231"/>
      <c r="Y68" s="231"/>
      <c r="Z68" s="231"/>
      <c r="AA68" s="231">
        <v>0</v>
      </c>
      <c r="AB68" s="231">
        <f>IF((C68*3)&gt;J68,T68,E68+(F68*C68*3/1000))</f>
        <v>74.72999999999999</v>
      </c>
      <c r="AC68" s="246"/>
      <c r="AD68" s="246"/>
      <c r="AG68" s="230"/>
      <c r="AH68" s="231"/>
      <c r="AI68" s="231"/>
      <c r="AJ68" s="231"/>
      <c r="AK68" s="231"/>
      <c r="AL68" s="231"/>
    </row>
    <row r="69" spans="1:38" x14ac:dyDescent="0.25">
      <c r="A69" s="4" t="s">
        <v>1193</v>
      </c>
      <c r="B69" s="235" t="s">
        <v>1121</v>
      </c>
      <c r="C69" s="230">
        <f t="shared" si="13"/>
        <v>3000</v>
      </c>
      <c r="E69" s="231">
        <v>12</v>
      </c>
      <c r="AA69" s="231">
        <f>E69+(F69*C69/1000)</f>
        <v>12</v>
      </c>
      <c r="AB69" s="231">
        <v>0</v>
      </c>
      <c r="AC69" s="246"/>
      <c r="AD69" s="246"/>
      <c r="AG69" s="230"/>
      <c r="AH69" s="231"/>
      <c r="AI69" s="231"/>
      <c r="AJ69" s="231"/>
      <c r="AK69" s="231"/>
      <c r="AL69" s="231"/>
    </row>
    <row r="70" spans="1:38" x14ac:dyDescent="0.25">
      <c r="A70" s="4" t="s">
        <v>1194</v>
      </c>
      <c r="B70" s="235" t="s">
        <v>1121</v>
      </c>
      <c r="C70" s="230">
        <f t="shared" si="13"/>
        <v>3000</v>
      </c>
      <c r="E70" s="231">
        <v>18.100000000000001</v>
      </c>
      <c r="F70" s="231">
        <v>6.8090000000000002</v>
      </c>
      <c r="AA70" s="231">
        <f>E70+(F70*C70/1000)</f>
        <v>38.527000000000001</v>
      </c>
      <c r="AB70" s="231">
        <v>0</v>
      </c>
      <c r="AC70" s="246"/>
      <c r="AD70" s="246"/>
      <c r="AG70" s="230"/>
      <c r="AH70" s="231"/>
      <c r="AI70" s="244"/>
      <c r="AJ70" s="231"/>
      <c r="AK70" s="231"/>
      <c r="AL70" s="231"/>
    </row>
    <row r="71" spans="1:38" x14ac:dyDescent="0.25">
      <c r="A71" s="4" t="s">
        <v>1195</v>
      </c>
      <c r="B71" s="235" t="s">
        <v>1121</v>
      </c>
      <c r="C71" s="230">
        <f t="shared" si="13"/>
        <v>3000</v>
      </c>
      <c r="E71" s="231">
        <v>12</v>
      </c>
      <c r="F71" s="231">
        <v>6.8090000000000002</v>
      </c>
      <c r="AA71" s="231">
        <f>E71+(F71*C71/1000)</f>
        <v>32.427</v>
      </c>
      <c r="AB71" s="231">
        <v>0</v>
      </c>
      <c r="AC71" s="246"/>
      <c r="AD71" s="246"/>
      <c r="AG71" s="230"/>
      <c r="AH71" s="231"/>
      <c r="AI71" s="244"/>
      <c r="AJ71" s="231"/>
      <c r="AK71" s="231"/>
      <c r="AL71" s="231"/>
    </row>
    <row r="72" spans="1:38" x14ac:dyDescent="0.25">
      <c r="A72" s="4" t="s">
        <v>1196</v>
      </c>
      <c r="B72" s="235" t="s">
        <v>1121</v>
      </c>
      <c r="C72" s="230">
        <f t="shared" si="13"/>
        <v>3000</v>
      </c>
      <c r="F72" s="231">
        <v>5.71</v>
      </c>
      <c r="AA72" s="231">
        <f>E72+(F72*C72/1000)</f>
        <v>17.13</v>
      </c>
      <c r="AB72" s="231">
        <v>0</v>
      </c>
      <c r="AC72" s="246"/>
      <c r="AD72" s="246"/>
      <c r="AG72" s="230"/>
      <c r="AH72" s="231"/>
      <c r="AI72" s="244"/>
      <c r="AJ72" s="231"/>
      <c r="AK72" s="231"/>
      <c r="AL72" s="231"/>
    </row>
    <row r="73" spans="1:38" x14ac:dyDescent="0.25">
      <c r="A73" s="4" t="s">
        <v>1197</v>
      </c>
      <c r="B73" s="235" t="s">
        <v>1121</v>
      </c>
      <c r="C73" s="230">
        <f t="shared" si="13"/>
        <v>3000</v>
      </c>
      <c r="E73" s="231">
        <v>25</v>
      </c>
      <c r="AA73" s="231">
        <f>E73+(F73*C73/1000)</f>
        <v>25</v>
      </c>
      <c r="AB73" s="231">
        <v>0</v>
      </c>
      <c r="AC73" s="246"/>
      <c r="AD73" s="246"/>
      <c r="AG73" s="230"/>
      <c r="AH73" s="231"/>
      <c r="AI73" s="244"/>
      <c r="AJ73" s="231"/>
    </row>
    <row r="74" spans="1:38" x14ac:dyDescent="0.25">
      <c r="A74" s="4" t="s">
        <v>1198</v>
      </c>
      <c r="C74" s="230">
        <f t="shared" si="13"/>
        <v>3000</v>
      </c>
      <c r="E74" s="231">
        <v>30</v>
      </c>
      <c r="F74" s="231">
        <v>4.57</v>
      </c>
      <c r="G74" s="231"/>
      <c r="H74" s="231"/>
      <c r="I74" s="231"/>
      <c r="J74" s="231"/>
      <c r="K74" s="231"/>
      <c r="L74" s="231"/>
      <c r="M74" s="231"/>
      <c r="N74" s="231"/>
      <c r="O74" s="231"/>
      <c r="P74" s="231"/>
      <c r="Q74" s="231"/>
      <c r="R74" s="231"/>
      <c r="S74" s="231"/>
      <c r="T74" s="231"/>
      <c r="U74" s="231"/>
      <c r="V74" s="231"/>
      <c r="W74" s="231"/>
      <c r="X74" s="231"/>
      <c r="Y74" s="231"/>
      <c r="Z74" s="231"/>
      <c r="AA74" s="231">
        <v>0</v>
      </c>
      <c r="AB74" s="231">
        <f>E74+(C74*3*F74/1000)</f>
        <v>71.13</v>
      </c>
      <c r="AC74" s="246"/>
      <c r="AD74" s="246"/>
      <c r="AG74" s="230"/>
      <c r="AH74" s="231"/>
      <c r="AI74" s="244"/>
      <c r="AJ74" s="231"/>
    </row>
    <row r="75" spans="1:38" x14ac:dyDescent="0.25">
      <c r="A75" s="4" t="s">
        <v>1199</v>
      </c>
      <c r="B75" s="235" t="s">
        <v>1121</v>
      </c>
      <c r="C75" s="230">
        <f t="shared" si="13"/>
        <v>3000</v>
      </c>
      <c r="E75" s="231">
        <v>30</v>
      </c>
      <c r="F75" s="231">
        <v>4.4400000000000004</v>
      </c>
      <c r="M75" s="231"/>
      <c r="N75" s="231"/>
      <c r="O75" s="231"/>
      <c r="P75" s="231"/>
      <c r="Q75" s="231"/>
      <c r="R75" s="231"/>
      <c r="S75" s="231"/>
      <c r="T75" s="231"/>
      <c r="U75" s="231"/>
      <c r="V75" s="231"/>
      <c r="W75" s="231"/>
      <c r="X75" s="231"/>
      <c r="Y75" s="231"/>
      <c r="Z75" s="231"/>
      <c r="AA75" s="231">
        <v>0</v>
      </c>
      <c r="AB75" s="231">
        <f>E75+(F75*C75*3/1000)</f>
        <v>69.960000000000008</v>
      </c>
      <c r="AC75" s="246"/>
      <c r="AD75" s="246"/>
      <c r="AG75" s="230"/>
      <c r="AH75" s="231"/>
      <c r="AI75" s="244"/>
      <c r="AJ75" s="231"/>
    </row>
    <row r="76" spans="1:38" x14ac:dyDescent="0.25">
      <c r="A76" s="4" t="s">
        <v>1200</v>
      </c>
      <c r="B76" s="248" t="s">
        <v>1201</v>
      </c>
      <c r="C76" s="230">
        <f t="shared" si="13"/>
        <v>3000</v>
      </c>
      <c r="D76" s="4"/>
      <c r="E76" s="4">
        <v>45</v>
      </c>
      <c r="F76" s="4"/>
      <c r="G76" s="4">
        <v>7.1</v>
      </c>
      <c r="H76" s="249"/>
      <c r="I76" s="4"/>
      <c r="J76" s="4">
        <v>5000</v>
      </c>
      <c r="K76" s="4"/>
      <c r="L76" s="4"/>
      <c r="M76" s="4"/>
      <c r="N76" s="4"/>
      <c r="O76" s="4"/>
      <c r="P76" s="4"/>
      <c r="Q76" s="4"/>
      <c r="R76" s="4"/>
      <c r="S76" s="4"/>
      <c r="T76" s="4"/>
      <c r="U76" s="4"/>
      <c r="V76" s="4"/>
      <c r="W76" s="4"/>
      <c r="X76" s="4"/>
      <c r="Y76" s="4"/>
      <c r="Z76" s="4"/>
      <c r="AA76" s="231">
        <v>0</v>
      </c>
      <c r="AB76" s="231">
        <f>IF(J76&gt;=(C76*3),E76,((((C76*3)-J76)*G76/1000)+E76))</f>
        <v>73.400000000000006</v>
      </c>
      <c r="AC76" s="246"/>
      <c r="AD76" s="246"/>
      <c r="AG76" s="230"/>
      <c r="AH76" s="231"/>
      <c r="AI76" s="230"/>
      <c r="AJ76" s="231"/>
    </row>
    <row r="77" spans="1:38" x14ac:dyDescent="0.25">
      <c r="A77" s="4" t="s">
        <v>1202</v>
      </c>
      <c r="B77" s="236">
        <v>42388</v>
      </c>
      <c r="C77" s="230">
        <f t="shared" si="13"/>
        <v>3000</v>
      </c>
      <c r="E77" s="231">
        <v>5.55</v>
      </c>
      <c r="F77" s="244">
        <v>4.4889999999999999</v>
      </c>
      <c r="G77" s="244">
        <v>3.8239999999999998</v>
      </c>
      <c r="H77" s="244">
        <v>3.2469999999999999</v>
      </c>
      <c r="I77" s="244"/>
      <c r="J77" s="230">
        <v>25000</v>
      </c>
      <c r="K77" s="230">
        <v>575000</v>
      </c>
      <c r="M77" s="230">
        <f>F77*J77/1000</f>
        <v>112.22499999999999</v>
      </c>
      <c r="N77" s="230">
        <f>G77*K77/1000</f>
        <v>2198.8000000000002</v>
      </c>
      <c r="P77" s="231">
        <f>((C77)-J77)*G77/1000</f>
        <v>-84.128</v>
      </c>
      <c r="Q77" s="231">
        <f>((C77)-J77-K77)*H77/1000</f>
        <v>-1938.4590000000001</v>
      </c>
      <c r="R77" s="231"/>
      <c r="S77" s="231">
        <f>E77+(C77*F77)/1000</f>
        <v>19.016999999999999</v>
      </c>
      <c r="T77" s="230">
        <f>E77+M77+P77</f>
        <v>33.646999999999991</v>
      </c>
      <c r="U77" s="230">
        <f>E77+M77+N77+Q77</f>
        <v>378.11600000000021</v>
      </c>
      <c r="W77" s="230" t="b">
        <f>C77&lt;=J77</f>
        <v>1</v>
      </c>
      <c r="X77" s="230" t="b">
        <f>AND(C77&lt;=(J77+K77),C77&gt;J77)</f>
        <v>0</v>
      </c>
      <c r="Y77" s="230" t="b">
        <f>C77&gt;(J77+K77)</f>
        <v>0</v>
      </c>
      <c r="AA77" s="231">
        <f>INDEX(S77:U77,MATCH($AC$7,W77:Y77,0))</f>
        <v>19.016999999999999</v>
      </c>
      <c r="AB77" s="231">
        <f>AA77*3</f>
        <v>57.051000000000002</v>
      </c>
      <c r="AC77" s="246"/>
      <c r="AD77" s="246"/>
      <c r="AG77" s="230"/>
      <c r="AH77" s="231"/>
      <c r="AI77" s="244"/>
      <c r="AJ77" s="231"/>
      <c r="AK77" s="231"/>
      <c r="AL77" s="231"/>
    </row>
    <row r="78" spans="1:38" x14ac:dyDescent="0.25">
      <c r="A78" s="4" t="s">
        <v>1203</v>
      </c>
      <c r="B78" s="235" t="s">
        <v>1121</v>
      </c>
      <c r="C78" s="230">
        <f t="shared" si="13"/>
        <v>3000</v>
      </c>
      <c r="E78" s="231">
        <v>5</v>
      </c>
      <c r="M78" s="231"/>
      <c r="N78" s="231"/>
      <c r="O78" s="231"/>
      <c r="P78" s="231"/>
      <c r="Q78" s="231"/>
      <c r="R78" s="231"/>
      <c r="S78" s="231"/>
      <c r="T78" s="231"/>
      <c r="U78" s="231"/>
      <c r="V78" s="231"/>
      <c r="W78" s="231"/>
      <c r="X78" s="231"/>
      <c r="Y78" s="231"/>
      <c r="Z78" s="231"/>
      <c r="AA78" s="231">
        <f>E78+(F78*C78/1000)</f>
        <v>5</v>
      </c>
      <c r="AB78" s="231">
        <v>0</v>
      </c>
      <c r="AG78" s="230"/>
      <c r="AH78" s="231"/>
      <c r="AI78" s="244"/>
      <c r="AJ78" s="231"/>
    </row>
    <row r="79" spans="1:38" x14ac:dyDescent="0.25">
      <c r="A79" s="4" t="s">
        <v>1204</v>
      </c>
      <c r="B79" s="236">
        <v>42388</v>
      </c>
      <c r="C79" s="230">
        <f t="shared" si="13"/>
        <v>3000</v>
      </c>
      <c r="E79" s="231">
        <v>16.920000000000002</v>
      </c>
      <c r="F79" s="231">
        <v>6.59</v>
      </c>
      <c r="G79" s="231">
        <v>2.5299999999999998</v>
      </c>
      <c r="H79" s="231"/>
      <c r="I79" s="231"/>
      <c r="J79" s="230">
        <v>10000</v>
      </c>
      <c r="M79" s="231">
        <f>J79*F79/1000</f>
        <v>65.900000000000006</v>
      </c>
      <c r="N79" s="231"/>
      <c r="O79" s="231"/>
      <c r="P79" s="231">
        <f>(C79-J79)*G79/1000</f>
        <v>-17.71</v>
      </c>
      <c r="Q79" s="231"/>
      <c r="R79" s="231"/>
      <c r="S79" s="231"/>
      <c r="T79" s="231">
        <f>E79+M79+P79</f>
        <v>65.110000000000014</v>
      </c>
      <c r="U79" s="231"/>
      <c r="V79" s="231"/>
      <c r="W79" s="231"/>
      <c r="X79" s="231"/>
      <c r="Y79" s="231"/>
      <c r="Z79" s="231"/>
      <c r="AA79" s="231">
        <f>IF(C79&gt;J79,T79,E79+(F79*C79/1000))</f>
        <v>36.69</v>
      </c>
      <c r="AB79" s="231">
        <v>0</v>
      </c>
      <c r="AC79" s="246"/>
      <c r="AD79" s="246"/>
      <c r="AG79" s="230"/>
      <c r="AH79" s="231"/>
      <c r="AI79" s="244"/>
      <c r="AJ79" s="231"/>
    </row>
    <row r="80" spans="1:38" x14ac:dyDescent="0.25">
      <c r="A80" s="4" t="s">
        <v>1205</v>
      </c>
      <c r="B80" s="238" t="s">
        <v>1121</v>
      </c>
      <c r="C80" s="230">
        <f t="shared" si="13"/>
        <v>3000</v>
      </c>
      <c r="D80" s="4"/>
      <c r="E80" s="231">
        <v>15</v>
      </c>
      <c r="F80" s="4">
        <v>3.75</v>
      </c>
      <c r="G80" s="4">
        <v>2.38</v>
      </c>
      <c r="H80" s="4"/>
      <c r="I80" s="4"/>
      <c r="J80" s="4">
        <v>5000</v>
      </c>
      <c r="K80" s="4"/>
      <c r="L80" s="4"/>
      <c r="M80" s="231">
        <f>J80*F80/1000</f>
        <v>18.75</v>
      </c>
      <c r="N80" s="231"/>
      <c r="O80" s="231"/>
      <c r="P80" s="231">
        <f>(C80-J80)*G80/1000</f>
        <v>-4.76</v>
      </c>
      <c r="Q80" s="231"/>
      <c r="R80" s="231"/>
      <c r="S80" s="231"/>
      <c r="T80" s="231">
        <f>E80+M80+P80</f>
        <v>28.990000000000002</v>
      </c>
      <c r="U80" s="231"/>
      <c r="V80" s="231"/>
      <c r="W80" s="231"/>
      <c r="X80" s="231"/>
      <c r="Y80" s="231"/>
      <c r="Z80" s="231"/>
      <c r="AA80" s="231">
        <f>IF(C80&gt;J80,T80,E80+(F80*C80/1000))</f>
        <v>26.25</v>
      </c>
      <c r="AB80" s="231">
        <v>0</v>
      </c>
      <c r="AG80" s="230"/>
      <c r="AH80" s="231"/>
      <c r="AI80" s="244"/>
      <c r="AJ80" s="231"/>
    </row>
    <row r="81" spans="1:36" x14ac:dyDescent="0.25">
      <c r="A81" s="4" t="s">
        <v>1206</v>
      </c>
      <c r="B81" s="250" t="s">
        <v>1201</v>
      </c>
      <c r="C81" s="230">
        <f t="shared" si="13"/>
        <v>3000</v>
      </c>
      <c r="D81" s="4"/>
      <c r="E81" s="4">
        <v>45.5</v>
      </c>
      <c r="F81" s="4">
        <v>0</v>
      </c>
      <c r="G81" s="231">
        <v>4.55</v>
      </c>
      <c r="H81" s="251">
        <v>3.25</v>
      </c>
      <c r="I81" s="231"/>
      <c r="J81" s="4">
        <v>5000</v>
      </c>
      <c r="K81" s="4">
        <v>10000</v>
      </c>
      <c r="L81" s="4"/>
      <c r="M81" s="231">
        <f>F81*J81/1000</f>
        <v>0</v>
      </c>
      <c r="N81" s="231">
        <f>G81*K81/1000</f>
        <v>45.5</v>
      </c>
      <c r="O81" s="231"/>
      <c r="P81" s="231">
        <f>((C81*3)-J81)*G81/1000</f>
        <v>18.2</v>
      </c>
      <c r="Q81" s="231">
        <f>((C81*3)-J81-K81)*H81/1000</f>
        <v>-19.5</v>
      </c>
      <c r="R81" s="231"/>
      <c r="S81" s="231">
        <f>E81+(C81*3*F81)/1000</f>
        <v>45.5</v>
      </c>
      <c r="T81" s="231">
        <f>E81+M81+P81</f>
        <v>63.7</v>
      </c>
      <c r="U81" s="231">
        <f>E81+M81+N81+Q81</f>
        <v>71.5</v>
      </c>
      <c r="W81" s="230" t="b">
        <f>C81*3&lt;=J81</f>
        <v>0</v>
      </c>
      <c r="X81" s="230" t="b">
        <f>AND(C81*3&lt;=(J81+K81),C81*3&gt;J81)</f>
        <v>1</v>
      </c>
      <c r="Y81" s="230" t="b">
        <f>C81*3&gt;(J81+K81)</f>
        <v>0</v>
      </c>
      <c r="AA81" s="245">
        <v>0</v>
      </c>
      <c r="AB81" s="231">
        <f>INDEX(S81:U81,MATCH(AC$7,W81:Y81,0))</f>
        <v>63.7</v>
      </c>
      <c r="AG81" s="230"/>
      <c r="AH81" s="231"/>
      <c r="AI81" s="231"/>
      <c r="AJ81" s="231"/>
    </row>
    <row r="82" spans="1:36" x14ac:dyDescent="0.25">
      <c r="A82" s="4" t="s">
        <v>1207</v>
      </c>
      <c r="B82" s="235" t="s">
        <v>1121</v>
      </c>
      <c r="C82" s="230">
        <f t="shared" si="13"/>
        <v>3000</v>
      </c>
      <c r="E82" s="231">
        <v>15.6</v>
      </c>
      <c r="F82" s="231">
        <v>7.82</v>
      </c>
      <c r="AA82" s="231">
        <v>0</v>
      </c>
      <c r="AB82" s="231">
        <f>E82+(F82*C82*3/1000)</f>
        <v>85.97999999999999</v>
      </c>
    </row>
    <row r="83" spans="1:36" x14ac:dyDescent="0.25">
      <c r="A83" s="4" t="s">
        <v>1208</v>
      </c>
      <c r="B83" s="236">
        <v>42389</v>
      </c>
      <c r="C83" s="230">
        <f t="shared" si="13"/>
        <v>3000</v>
      </c>
      <c r="E83" s="231">
        <v>29.1</v>
      </c>
      <c r="F83" s="231">
        <v>5.8739999999999997</v>
      </c>
      <c r="G83" s="244"/>
      <c r="H83" s="244"/>
      <c r="I83" s="244"/>
      <c r="J83" s="244"/>
      <c r="K83" s="244"/>
      <c r="L83" s="244"/>
      <c r="M83" s="244"/>
      <c r="N83" s="244"/>
      <c r="O83" s="244"/>
      <c r="P83" s="244"/>
      <c r="Q83" s="244"/>
      <c r="R83" s="244"/>
      <c r="S83" s="244"/>
      <c r="T83" s="244"/>
      <c r="U83" s="244"/>
      <c r="V83" s="244"/>
      <c r="W83" s="244"/>
      <c r="X83" s="244"/>
      <c r="Y83" s="244"/>
      <c r="Z83" s="244"/>
      <c r="AA83" s="231">
        <v>0</v>
      </c>
      <c r="AB83" s="231">
        <f>E83+(F83*C83*3/1000)</f>
        <v>81.966000000000008</v>
      </c>
    </row>
    <row r="84" spans="1:36" x14ac:dyDescent="0.25">
      <c r="A84" s="4" t="s">
        <v>1209</v>
      </c>
      <c r="B84" s="236">
        <v>42389</v>
      </c>
      <c r="C84" s="230">
        <f t="shared" si="13"/>
        <v>3000</v>
      </c>
      <c r="E84" s="231">
        <v>19.38</v>
      </c>
      <c r="F84" s="231">
        <v>5.8739999999999997</v>
      </c>
      <c r="G84" s="244"/>
      <c r="H84" s="244"/>
      <c r="I84" s="244"/>
      <c r="J84" s="244"/>
      <c r="K84" s="244"/>
      <c r="L84" s="244"/>
      <c r="M84" s="244"/>
      <c r="N84" s="244"/>
      <c r="O84" s="244"/>
      <c r="P84" s="244"/>
      <c r="Q84" s="244"/>
      <c r="R84" s="244"/>
      <c r="S84" s="244"/>
      <c r="T84" s="244"/>
      <c r="U84" s="244"/>
      <c r="V84" s="244"/>
      <c r="W84" s="244"/>
      <c r="X84" s="244"/>
      <c r="Y84" s="244"/>
      <c r="Z84" s="244"/>
      <c r="AA84" s="231">
        <v>0</v>
      </c>
      <c r="AB84" s="231">
        <f>E84+(F84*C84*3/1000)</f>
        <v>72.245999999999995</v>
      </c>
    </row>
    <row r="85" spans="1:36" x14ac:dyDescent="0.25">
      <c r="A85" s="4" t="s">
        <v>1210</v>
      </c>
      <c r="B85" s="236">
        <v>42389</v>
      </c>
      <c r="C85" s="230">
        <f t="shared" si="13"/>
        <v>3000</v>
      </c>
      <c r="E85" s="231">
        <v>29.1</v>
      </c>
      <c r="F85" s="231">
        <v>5.3940000000000001</v>
      </c>
      <c r="G85" s="244"/>
      <c r="H85" s="244"/>
      <c r="I85" s="244"/>
      <c r="J85" s="244"/>
      <c r="K85" s="244"/>
      <c r="L85" s="244"/>
      <c r="M85" s="244"/>
      <c r="N85" s="244"/>
      <c r="O85" s="244"/>
      <c r="P85" s="244"/>
      <c r="Q85" s="244"/>
      <c r="R85" s="244"/>
      <c r="S85" s="244"/>
      <c r="T85" s="244"/>
      <c r="U85" s="244"/>
      <c r="V85" s="244"/>
      <c r="W85" s="244"/>
      <c r="X85" s="244"/>
      <c r="Y85" s="244"/>
      <c r="Z85" s="244"/>
      <c r="AA85" s="231">
        <v>0</v>
      </c>
      <c r="AB85" s="231">
        <f>E85+(F85*C85*3/1000)</f>
        <v>77.646000000000001</v>
      </c>
    </row>
    <row r="86" spans="1:36" x14ac:dyDescent="0.25">
      <c r="A86" s="4" t="s">
        <v>1211</v>
      </c>
      <c r="B86" s="236">
        <v>42389</v>
      </c>
      <c r="C86" s="230">
        <f t="shared" si="13"/>
        <v>3000</v>
      </c>
      <c r="E86" s="231">
        <v>19.38</v>
      </c>
      <c r="F86" s="231">
        <v>5.3940000000000001</v>
      </c>
      <c r="G86" s="244"/>
      <c r="H86" s="244"/>
      <c r="I86" s="244"/>
      <c r="J86" s="244"/>
      <c r="K86" s="244"/>
      <c r="L86" s="244"/>
      <c r="M86" s="244"/>
      <c r="N86" s="244"/>
      <c r="O86" s="244"/>
      <c r="P86" s="244"/>
      <c r="Q86" s="244"/>
      <c r="R86" s="244"/>
      <c r="S86" s="244"/>
      <c r="T86" s="244"/>
      <c r="U86" s="244"/>
      <c r="V86" s="244"/>
      <c r="W86" s="244"/>
      <c r="X86" s="244"/>
      <c r="Y86" s="244"/>
      <c r="Z86" s="244"/>
      <c r="AA86" s="231">
        <v>0</v>
      </c>
      <c r="AB86" s="231">
        <f>E86+(F86*C86*3/1000)</f>
        <v>67.926000000000002</v>
      </c>
      <c r="AG86" s="230"/>
      <c r="AI86" s="244"/>
      <c r="AJ86" s="231"/>
    </row>
    <row r="87" spans="1:36" x14ac:dyDescent="0.25">
      <c r="A87" s="4" t="s">
        <v>1212</v>
      </c>
      <c r="B87" s="235" t="s">
        <v>1121</v>
      </c>
      <c r="C87" s="230">
        <f t="shared" si="13"/>
        <v>3000</v>
      </c>
      <c r="E87" s="231">
        <v>14.24</v>
      </c>
      <c r="F87" s="231">
        <v>7.54</v>
      </c>
      <c r="M87" s="231"/>
      <c r="N87" s="231"/>
      <c r="O87" s="231"/>
      <c r="P87" s="231"/>
      <c r="Q87" s="231"/>
      <c r="R87" s="231"/>
      <c r="S87" s="231"/>
      <c r="T87" s="231"/>
      <c r="U87" s="231"/>
      <c r="V87" s="231"/>
      <c r="W87" s="231"/>
      <c r="X87" s="231"/>
      <c r="Y87" s="231"/>
      <c r="Z87" s="231"/>
      <c r="AA87" s="231">
        <f>E87+(F87*C87/1000)</f>
        <v>36.86</v>
      </c>
      <c r="AB87" s="231">
        <f>(E87*3)+(F87*C87*3/1000)</f>
        <v>110.58</v>
      </c>
    </row>
    <row r="88" spans="1:36" x14ac:dyDescent="0.25">
      <c r="A88" s="4" t="s">
        <v>1213</v>
      </c>
      <c r="B88" s="250" t="s">
        <v>1201</v>
      </c>
      <c r="C88" s="230">
        <f t="shared" si="13"/>
        <v>3000</v>
      </c>
      <c r="D88" s="4"/>
      <c r="E88" s="4">
        <v>40</v>
      </c>
      <c r="F88" s="4">
        <v>0</v>
      </c>
      <c r="G88" s="4">
        <v>3</v>
      </c>
      <c r="H88" s="4">
        <v>2.4</v>
      </c>
      <c r="I88" s="4">
        <v>2</v>
      </c>
      <c r="J88" s="4">
        <v>5000</v>
      </c>
      <c r="K88" s="4">
        <v>15000</v>
      </c>
      <c r="L88" s="4">
        <v>30000</v>
      </c>
      <c r="M88" s="230">
        <f>E88</f>
        <v>40</v>
      </c>
      <c r="N88" s="231">
        <f>G88*K88/1000</f>
        <v>45</v>
      </c>
      <c r="O88" s="231">
        <f>H88*L88/1000</f>
        <v>72</v>
      </c>
      <c r="P88" s="231">
        <f>((C88*3)-J88)*G88/1000</f>
        <v>12</v>
      </c>
      <c r="Q88" s="230">
        <f>((C88*3)-J88-K88)*H88/1000</f>
        <v>-26.4</v>
      </c>
      <c r="R88" s="230">
        <f>((C88*3)-J88-K88-L88)*I88/1000</f>
        <v>-82</v>
      </c>
      <c r="S88" s="230">
        <f>E88</f>
        <v>40</v>
      </c>
      <c r="T88" s="230">
        <f>E88+P88</f>
        <v>52</v>
      </c>
      <c r="U88" s="230">
        <f>E88+N88+Q88</f>
        <v>58.6</v>
      </c>
      <c r="V88" s="230">
        <f>E88+N88+O88+R88</f>
        <v>75</v>
      </c>
      <c r="W88" s="230" t="b">
        <f>C88*3&lt;=J88</f>
        <v>0</v>
      </c>
      <c r="X88" s="230" t="b">
        <f>AND(C88*3&lt;=(J88+K88),C88*3&gt;J88)</f>
        <v>1</v>
      </c>
      <c r="Y88" s="230" t="b">
        <f>AND(C88*3&gt;(J88+K88),C88*3&lt;=(J88+K88+L88))</f>
        <v>0</v>
      </c>
      <c r="Z88" s="230" t="b">
        <f>C88*3&gt;(J88+K88+L88)</f>
        <v>0</v>
      </c>
      <c r="AA88" s="231">
        <v>0</v>
      </c>
      <c r="AB88" s="231">
        <f>INDEX(S88:V88,MATCH($AC$7,W88:Z88,0))</f>
        <v>52</v>
      </c>
      <c r="AC88" s="246"/>
      <c r="AD88" s="246"/>
    </row>
    <row r="89" spans="1:36" x14ac:dyDescent="0.25">
      <c r="A89" s="4" t="s">
        <v>1214</v>
      </c>
      <c r="B89" s="235" t="s">
        <v>1121</v>
      </c>
      <c r="C89" s="230">
        <f t="shared" si="13"/>
        <v>3000</v>
      </c>
      <c r="E89" s="231">
        <v>17</v>
      </c>
      <c r="AA89" s="231">
        <f>E89+(F89*C89/1000)</f>
        <v>17</v>
      </c>
      <c r="AB89" s="231">
        <v>0</v>
      </c>
      <c r="AC89" s="246"/>
      <c r="AD89" s="246"/>
    </row>
    <row r="90" spans="1:36" x14ac:dyDescent="0.25">
      <c r="A90" s="4" t="s">
        <v>1215</v>
      </c>
      <c r="B90" s="236">
        <v>42389</v>
      </c>
      <c r="C90" s="230">
        <f t="shared" si="13"/>
        <v>3000</v>
      </c>
      <c r="E90" s="231">
        <v>22.7</v>
      </c>
      <c r="F90" s="231">
        <v>10.214</v>
      </c>
      <c r="G90" s="244"/>
      <c r="H90" s="244"/>
      <c r="I90" s="244"/>
      <c r="J90" s="244"/>
      <c r="K90" s="244"/>
      <c r="L90" s="244"/>
      <c r="M90" s="244"/>
      <c r="N90" s="244"/>
      <c r="O90" s="244"/>
      <c r="P90" s="244"/>
      <c r="Q90" s="244"/>
      <c r="R90" s="244"/>
      <c r="S90" s="244"/>
      <c r="T90" s="244"/>
      <c r="U90" s="244"/>
      <c r="V90" s="244"/>
      <c r="W90" s="244"/>
      <c r="X90" s="244"/>
      <c r="Y90" s="244"/>
      <c r="Z90" s="244"/>
      <c r="AA90" s="231">
        <f>E90+(C90*F90/1000)</f>
        <v>53.341999999999999</v>
      </c>
      <c r="AB90" s="231">
        <v>0</v>
      </c>
    </row>
    <row r="91" spans="1:36" x14ac:dyDescent="0.25">
      <c r="A91" s="4" t="s">
        <v>1216</v>
      </c>
      <c r="B91" s="236">
        <v>42389</v>
      </c>
      <c r="C91" s="230">
        <f t="shared" si="13"/>
        <v>3000</v>
      </c>
      <c r="E91" s="231">
        <v>15</v>
      </c>
      <c r="F91" s="231">
        <v>10.214</v>
      </c>
      <c r="G91" s="244"/>
      <c r="H91" s="244"/>
      <c r="I91" s="244"/>
      <c r="J91" s="244"/>
      <c r="K91" s="244"/>
      <c r="L91" s="244"/>
      <c r="M91" s="244"/>
      <c r="N91" s="244"/>
      <c r="O91" s="244"/>
      <c r="P91" s="244"/>
      <c r="Q91" s="244"/>
      <c r="R91" s="244"/>
      <c r="S91" s="244"/>
      <c r="T91" s="244"/>
      <c r="U91" s="244"/>
      <c r="V91" s="244"/>
      <c r="W91" s="244"/>
      <c r="X91" s="244"/>
      <c r="Y91" s="244"/>
      <c r="Z91" s="244"/>
      <c r="AA91" s="231">
        <f>E91+(C91*F91/1000)</f>
        <v>45.641999999999996</v>
      </c>
      <c r="AB91" s="231">
        <v>0</v>
      </c>
    </row>
    <row r="92" spans="1:36" x14ac:dyDescent="0.25">
      <c r="A92" s="4" t="s">
        <v>1217</v>
      </c>
      <c r="B92" s="236">
        <v>42389</v>
      </c>
      <c r="C92" s="230">
        <f t="shared" si="13"/>
        <v>3000</v>
      </c>
      <c r="G92" s="244"/>
      <c r="H92" s="244"/>
      <c r="I92" s="244"/>
      <c r="J92" s="244"/>
      <c r="K92" s="244"/>
      <c r="L92" s="244"/>
      <c r="M92" s="244"/>
      <c r="N92" s="244"/>
      <c r="O92" s="244"/>
      <c r="P92" s="244"/>
      <c r="Q92" s="244"/>
      <c r="R92" s="244"/>
      <c r="S92" s="244"/>
      <c r="T92" s="244"/>
      <c r="U92" s="244"/>
      <c r="V92" s="244"/>
      <c r="W92" s="244"/>
      <c r="X92" s="244"/>
      <c r="Y92" s="244"/>
      <c r="Z92" s="244"/>
      <c r="AA92" s="231">
        <v>55.45</v>
      </c>
      <c r="AB92" s="231">
        <v>0</v>
      </c>
    </row>
    <row r="93" spans="1:36" x14ac:dyDescent="0.25">
      <c r="A93" s="4" t="s">
        <v>1218</v>
      </c>
      <c r="B93" s="236">
        <v>42389</v>
      </c>
      <c r="C93" s="230">
        <f t="shared" si="13"/>
        <v>3000</v>
      </c>
      <c r="E93" s="231">
        <v>20.8</v>
      </c>
      <c r="F93" s="231">
        <v>5.35</v>
      </c>
      <c r="G93" s="244"/>
      <c r="H93" s="244"/>
      <c r="I93" s="244"/>
      <c r="J93" s="244"/>
      <c r="K93" s="244"/>
      <c r="L93" s="244"/>
      <c r="M93" s="244"/>
      <c r="N93" s="244"/>
      <c r="O93" s="244"/>
      <c r="P93" s="244"/>
      <c r="Q93" s="244"/>
      <c r="R93" s="244"/>
      <c r="S93" s="244"/>
      <c r="T93" s="244"/>
      <c r="U93" s="244"/>
      <c r="V93" s="244"/>
      <c r="W93" s="244"/>
      <c r="X93" s="244"/>
      <c r="Y93" s="244"/>
      <c r="Z93" s="244"/>
      <c r="AA93" s="231">
        <f>E93+(C93*F93/1000)</f>
        <v>36.849999999999994</v>
      </c>
      <c r="AB93" s="231">
        <v>0</v>
      </c>
    </row>
    <row r="94" spans="1:36" x14ac:dyDescent="0.25">
      <c r="A94" s="4" t="s">
        <v>1219</v>
      </c>
      <c r="B94" s="236">
        <v>42389</v>
      </c>
      <c r="C94" s="230">
        <f t="shared" si="13"/>
        <v>3000</v>
      </c>
      <c r="E94" s="231">
        <v>11.5</v>
      </c>
      <c r="F94" s="231">
        <v>5.35</v>
      </c>
      <c r="G94" s="244"/>
      <c r="H94" s="244"/>
      <c r="I94" s="244"/>
      <c r="J94" s="244"/>
      <c r="K94" s="244"/>
      <c r="L94" s="244"/>
      <c r="M94" s="244"/>
      <c r="N94" s="244"/>
      <c r="O94" s="244"/>
      <c r="P94" s="244"/>
      <c r="Q94" s="244"/>
      <c r="R94" s="244"/>
      <c r="S94" s="244"/>
      <c r="T94" s="244"/>
      <c r="U94" s="244"/>
      <c r="V94" s="244"/>
      <c r="W94" s="244"/>
      <c r="X94" s="244"/>
      <c r="Y94" s="244"/>
      <c r="Z94" s="244"/>
      <c r="AA94" s="231">
        <f>E94+(C94*F94/1000)</f>
        <v>27.549999999999997</v>
      </c>
      <c r="AB94" s="231">
        <v>0</v>
      </c>
    </row>
    <row r="95" spans="1:36" x14ac:dyDescent="0.25">
      <c r="A95" s="4" t="s">
        <v>1220</v>
      </c>
      <c r="B95" s="236">
        <v>42389</v>
      </c>
      <c r="C95" s="230">
        <f t="shared" si="13"/>
        <v>3000</v>
      </c>
      <c r="E95" s="231">
        <v>22.7</v>
      </c>
      <c r="F95" s="231">
        <v>7.1</v>
      </c>
      <c r="G95" s="244"/>
      <c r="H95" s="244"/>
      <c r="I95" s="244"/>
      <c r="J95" s="244"/>
      <c r="K95" s="244"/>
      <c r="L95" s="244"/>
      <c r="M95" s="244"/>
      <c r="N95" s="244"/>
      <c r="O95" s="244"/>
      <c r="P95" s="244"/>
      <c r="Q95" s="244"/>
      <c r="R95" s="244"/>
      <c r="S95" s="244"/>
      <c r="T95" s="244"/>
      <c r="U95" s="244"/>
      <c r="V95" s="244"/>
      <c r="W95" s="244"/>
      <c r="X95" s="244"/>
      <c r="Y95" s="244"/>
      <c r="Z95" s="244"/>
      <c r="AA95" s="231">
        <f>E95+(C95*F95/1000)</f>
        <v>44</v>
      </c>
      <c r="AB95" s="231">
        <v>0</v>
      </c>
    </row>
    <row r="96" spans="1:36" x14ac:dyDescent="0.25">
      <c r="A96" s="4" t="s">
        <v>1221</v>
      </c>
      <c r="B96" s="236">
        <v>42389</v>
      </c>
      <c r="C96" s="230">
        <f t="shared" si="13"/>
        <v>3000</v>
      </c>
      <c r="E96" s="231">
        <v>15</v>
      </c>
      <c r="F96" s="231">
        <v>7.1</v>
      </c>
      <c r="G96" s="244"/>
      <c r="H96" s="244"/>
      <c r="I96" s="244"/>
      <c r="J96" s="244"/>
      <c r="K96" s="244"/>
      <c r="L96" s="244"/>
      <c r="M96" s="244"/>
      <c r="N96" s="244"/>
      <c r="O96" s="244"/>
      <c r="P96" s="244"/>
      <c r="Q96" s="244"/>
      <c r="R96" s="244"/>
      <c r="S96" s="244"/>
      <c r="T96" s="244"/>
      <c r="U96" s="244"/>
      <c r="V96" s="244"/>
      <c r="W96" s="244"/>
      <c r="X96" s="244"/>
      <c r="Y96" s="244"/>
      <c r="Z96" s="244"/>
      <c r="AA96" s="231">
        <f>E96+(C96*F96/1000)</f>
        <v>36.299999999999997</v>
      </c>
      <c r="AB96" s="231">
        <v>0</v>
      </c>
    </row>
    <row r="97" spans="1:28" x14ac:dyDescent="0.25">
      <c r="A97" s="4" t="s">
        <v>1222</v>
      </c>
      <c r="B97" s="236">
        <v>42389</v>
      </c>
      <c r="C97" s="230">
        <f t="shared" si="13"/>
        <v>3000</v>
      </c>
      <c r="E97" s="231">
        <v>13.75</v>
      </c>
      <c r="F97" s="231">
        <v>9.1010000000000009</v>
      </c>
      <c r="G97" s="244"/>
      <c r="H97" s="244"/>
      <c r="I97" s="244"/>
      <c r="J97" s="244"/>
      <c r="K97" s="244"/>
      <c r="L97" s="244"/>
      <c r="M97" s="244"/>
      <c r="N97" s="244"/>
      <c r="O97" s="244"/>
      <c r="P97" s="244"/>
      <c r="Q97" s="244"/>
      <c r="R97" s="244"/>
      <c r="S97" s="244"/>
      <c r="T97" s="244"/>
      <c r="U97" s="244"/>
      <c r="V97" s="244"/>
      <c r="W97" s="244"/>
      <c r="X97" s="244"/>
      <c r="Y97" s="244"/>
      <c r="Z97" s="244"/>
      <c r="AA97" s="231">
        <f>E97+(C97*F97/1000)</f>
        <v>41.053000000000004</v>
      </c>
      <c r="AB97" s="231">
        <v>0</v>
      </c>
    </row>
    <row r="98" spans="1:28" x14ac:dyDescent="0.25">
      <c r="A98" s="4" t="s">
        <v>1223</v>
      </c>
      <c r="B98" s="236">
        <v>42389</v>
      </c>
      <c r="C98" s="230">
        <f t="shared" si="13"/>
        <v>3000</v>
      </c>
      <c r="G98" s="244"/>
      <c r="H98" s="244"/>
      <c r="I98" s="244"/>
      <c r="J98" s="244"/>
      <c r="K98" s="244"/>
      <c r="L98" s="244"/>
      <c r="M98" s="244"/>
      <c r="N98" s="244"/>
      <c r="O98" s="244"/>
      <c r="P98" s="244"/>
      <c r="Q98" s="244"/>
      <c r="R98" s="244"/>
      <c r="S98" s="244"/>
      <c r="T98" s="244"/>
      <c r="U98" s="244"/>
      <c r="V98" s="244"/>
      <c r="W98" s="244"/>
      <c r="X98" s="244"/>
      <c r="Y98" s="244"/>
      <c r="Z98" s="244"/>
      <c r="AA98" s="231">
        <v>45.94</v>
      </c>
      <c r="AB98" s="231">
        <v>0</v>
      </c>
    </row>
    <row r="99" spans="1:28" x14ac:dyDescent="0.25">
      <c r="A99" s="4" t="s">
        <v>1224</v>
      </c>
      <c r="B99" s="236">
        <v>42389</v>
      </c>
      <c r="C99" s="230">
        <f t="shared" si="13"/>
        <v>3000</v>
      </c>
      <c r="E99" s="231">
        <v>13.75</v>
      </c>
      <c r="F99" s="231">
        <v>7.1</v>
      </c>
      <c r="G99" s="244"/>
      <c r="H99" s="244"/>
      <c r="I99" s="244"/>
      <c r="J99" s="244"/>
      <c r="K99" s="244"/>
      <c r="L99" s="244"/>
      <c r="M99" s="244"/>
      <c r="N99" s="244"/>
      <c r="O99" s="244"/>
      <c r="P99" s="244"/>
      <c r="Q99" s="244"/>
      <c r="R99" s="244"/>
      <c r="S99" s="244"/>
      <c r="T99" s="244"/>
      <c r="U99" s="244"/>
      <c r="V99" s="244"/>
      <c r="W99" s="244"/>
      <c r="X99" s="244"/>
      <c r="Y99" s="244"/>
      <c r="Z99" s="244"/>
      <c r="AA99" s="231">
        <f>E99+(C99*F99/1000)</f>
        <v>35.049999999999997</v>
      </c>
      <c r="AB99" s="231">
        <v>0</v>
      </c>
    </row>
    <row r="100" spans="1:28" x14ac:dyDescent="0.25">
      <c r="A100" s="4" t="s">
        <v>1225</v>
      </c>
      <c r="B100" s="236">
        <v>42389</v>
      </c>
      <c r="C100" s="230">
        <f t="shared" si="13"/>
        <v>3000</v>
      </c>
      <c r="AA100" s="231">
        <v>24.75</v>
      </c>
      <c r="AB100" s="231">
        <v>0</v>
      </c>
    </row>
    <row r="101" spans="1:28" x14ac:dyDescent="0.25">
      <c r="A101" s="4" t="s">
        <v>1226</v>
      </c>
      <c r="B101" s="236">
        <v>42389</v>
      </c>
      <c r="C101" s="230">
        <f t="shared" si="13"/>
        <v>3000</v>
      </c>
      <c r="AA101" s="231">
        <v>37</v>
      </c>
      <c r="AB101" s="231">
        <v>0</v>
      </c>
    </row>
    <row r="102" spans="1:28" x14ac:dyDescent="0.25">
      <c r="A102" s="4" t="s">
        <v>1227</v>
      </c>
      <c r="B102" s="236">
        <v>42389</v>
      </c>
      <c r="C102" s="230">
        <f t="shared" si="13"/>
        <v>3000</v>
      </c>
      <c r="E102" s="231">
        <v>22.7</v>
      </c>
      <c r="F102" s="231">
        <v>6.2</v>
      </c>
      <c r="G102" s="244">
        <v>5</v>
      </c>
      <c r="H102" s="244"/>
      <c r="I102" s="244"/>
      <c r="J102" s="230">
        <v>1000000</v>
      </c>
      <c r="K102" s="244"/>
      <c r="L102" s="244"/>
      <c r="M102" s="231">
        <f>J102*F102/1000</f>
        <v>6200</v>
      </c>
      <c r="N102" s="231"/>
      <c r="O102" s="231"/>
      <c r="P102" s="231">
        <f>(C102-J102)*G102/1000</f>
        <v>-4985</v>
      </c>
      <c r="Q102" s="231"/>
      <c r="R102" s="231"/>
      <c r="S102" s="231"/>
      <c r="T102" s="231">
        <f>E102+M102+P102</f>
        <v>1237.6999999999998</v>
      </c>
      <c r="U102" s="231"/>
      <c r="V102" s="231"/>
      <c r="W102" s="231"/>
      <c r="X102" s="231"/>
      <c r="Y102" s="231"/>
      <c r="Z102" s="231"/>
      <c r="AA102" s="231">
        <f>IF(C102&gt;J102,T102,E102+(F102*C102/1000))</f>
        <v>41.3</v>
      </c>
      <c r="AB102" s="231">
        <v>0</v>
      </c>
    </row>
    <row r="103" spans="1:28" x14ac:dyDescent="0.25">
      <c r="A103" s="4" t="s">
        <v>1228</v>
      </c>
      <c r="B103" s="236">
        <v>42389</v>
      </c>
      <c r="C103" s="230">
        <f t="shared" si="13"/>
        <v>3000</v>
      </c>
      <c r="E103" s="231">
        <v>15</v>
      </c>
      <c r="F103" s="231">
        <v>6.2</v>
      </c>
      <c r="G103" s="244">
        <v>5</v>
      </c>
      <c r="H103" s="244"/>
      <c r="I103" s="244"/>
      <c r="J103" s="230">
        <v>1000000</v>
      </c>
      <c r="K103" s="244"/>
      <c r="L103" s="244"/>
      <c r="M103" s="231">
        <f>J103*F103/1000</f>
        <v>6200</v>
      </c>
      <c r="N103" s="231"/>
      <c r="O103" s="231"/>
      <c r="P103" s="231">
        <f>(C103-J103)*G103/1000</f>
        <v>-4985</v>
      </c>
      <c r="Q103" s="231"/>
      <c r="R103" s="231"/>
      <c r="S103" s="231"/>
      <c r="T103" s="231">
        <f>E103+M103+P103</f>
        <v>1230</v>
      </c>
      <c r="U103" s="231"/>
      <c r="V103" s="231"/>
      <c r="W103" s="231"/>
      <c r="X103" s="231"/>
      <c r="Y103" s="231"/>
      <c r="Z103" s="231"/>
      <c r="AA103" s="231">
        <f>IF(C103&gt;J103,T103,E103+(F103*C103/1000))</f>
        <v>33.6</v>
      </c>
      <c r="AB103" s="231">
        <v>0</v>
      </c>
    </row>
    <row r="104" spans="1:28" x14ac:dyDescent="0.25">
      <c r="A104" s="4" t="s">
        <v>1229</v>
      </c>
      <c r="B104" s="236">
        <v>42389</v>
      </c>
      <c r="C104" s="230">
        <f t="shared" si="13"/>
        <v>3000</v>
      </c>
      <c r="E104" s="231">
        <v>20.8</v>
      </c>
      <c r="F104" s="231">
        <v>9.1010000000000009</v>
      </c>
      <c r="G104" s="244"/>
      <c r="H104" s="244"/>
      <c r="I104" s="244"/>
      <c r="J104" s="244"/>
      <c r="K104" s="244"/>
      <c r="L104" s="244"/>
      <c r="M104" s="244"/>
      <c r="N104" s="244"/>
      <c r="O104" s="244"/>
      <c r="P104" s="244"/>
      <c r="Q104" s="244"/>
      <c r="R104" s="244"/>
      <c r="S104" s="244"/>
      <c r="T104" s="244"/>
      <c r="U104" s="244"/>
      <c r="V104" s="244"/>
      <c r="W104" s="244"/>
      <c r="X104" s="244"/>
      <c r="Y104" s="244"/>
      <c r="Z104" s="244"/>
      <c r="AA104" s="231">
        <f>E104+(C104*F104/1000)</f>
        <v>48.103000000000009</v>
      </c>
      <c r="AB104" s="231">
        <v>0</v>
      </c>
    </row>
    <row r="105" spans="1:28" x14ac:dyDescent="0.25">
      <c r="A105" s="4" t="s">
        <v>1230</v>
      </c>
      <c r="B105" s="236">
        <v>42389</v>
      </c>
      <c r="C105" s="230">
        <f t="shared" si="13"/>
        <v>3000</v>
      </c>
      <c r="E105" s="231">
        <v>13.75</v>
      </c>
      <c r="F105" s="231">
        <v>9.1010000000000009</v>
      </c>
      <c r="G105" s="244"/>
      <c r="H105" s="244"/>
      <c r="I105" s="244"/>
      <c r="J105" s="244"/>
      <c r="K105" s="244"/>
      <c r="L105" s="244"/>
      <c r="M105" s="244"/>
      <c r="N105" s="244"/>
      <c r="O105" s="244"/>
      <c r="P105" s="244"/>
      <c r="Q105" s="244"/>
      <c r="R105" s="244"/>
      <c r="S105" s="244"/>
      <c r="T105" s="244"/>
      <c r="U105" s="244"/>
      <c r="V105" s="244"/>
      <c r="W105" s="244"/>
      <c r="X105" s="244"/>
      <c r="Y105" s="244"/>
      <c r="Z105" s="244"/>
      <c r="AA105" s="231">
        <f>E105+(C105*F105/1000)</f>
        <v>41.053000000000004</v>
      </c>
      <c r="AB105" s="231">
        <v>0</v>
      </c>
    </row>
    <row r="106" spans="1:28" x14ac:dyDescent="0.25">
      <c r="A106" s="4" t="s">
        <v>1231</v>
      </c>
      <c r="B106" s="236">
        <v>42389</v>
      </c>
      <c r="C106" s="230">
        <f t="shared" si="13"/>
        <v>3000</v>
      </c>
      <c r="G106" s="244"/>
      <c r="H106" s="244"/>
      <c r="I106" s="244"/>
      <c r="J106" s="244"/>
      <c r="K106" s="244"/>
      <c r="L106" s="244"/>
      <c r="M106" s="244"/>
      <c r="N106" s="244"/>
      <c r="O106" s="244"/>
      <c r="P106" s="244"/>
      <c r="Q106" s="244"/>
      <c r="R106" s="244"/>
      <c r="S106" s="244"/>
      <c r="T106" s="244"/>
      <c r="U106" s="244"/>
      <c r="V106" s="244"/>
      <c r="W106" s="244"/>
      <c r="X106" s="244"/>
      <c r="Y106" s="244"/>
      <c r="Z106" s="244"/>
      <c r="AA106" s="231">
        <v>51.52</v>
      </c>
      <c r="AB106" s="231">
        <v>0</v>
      </c>
    </row>
    <row r="107" spans="1:28" x14ac:dyDescent="0.25">
      <c r="A107" s="4" t="s">
        <v>1232</v>
      </c>
      <c r="B107" s="236">
        <v>42389</v>
      </c>
      <c r="C107" s="230">
        <f t="shared" si="13"/>
        <v>3000</v>
      </c>
      <c r="E107" s="231">
        <v>18.3</v>
      </c>
      <c r="F107" s="231">
        <v>6.55</v>
      </c>
      <c r="G107" s="231">
        <v>6.01</v>
      </c>
      <c r="H107" s="231">
        <v>5.37</v>
      </c>
      <c r="I107" s="231">
        <v>4.7</v>
      </c>
      <c r="J107" s="230">
        <v>3300</v>
      </c>
      <c r="K107" s="230">
        <v>1700</v>
      </c>
      <c r="L107" s="230">
        <v>1700</v>
      </c>
      <c r="M107" s="231">
        <f>F107*J107/1000</f>
        <v>21.614999999999998</v>
      </c>
      <c r="N107" s="231">
        <f>G107*K107/1000</f>
        <v>10.217000000000001</v>
      </c>
      <c r="O107" s="231">
        <f>H107*L107/1000</f>
        <v>9.1289999999999996</v>
      </c>
      <c r="P107" s="231">
        <f>(C107-J107)*G107/1000</f>
        <v>-1.8029999999999999</v>
      </c>
      <c r="Q107" s="231">
        <f>(C107-(J107+K107))*H107/1000</f>
        <v>-10.74</v>
      </c>
      <c r="R107" s="231">
        <f>(C107-J107-K107-L107)*I107/1000</f>
        <v>-17.39</v>
      </c>
      <c r="S107" s="231">
        <f>E107+(C107*F107/1000)</f>
        <v>37.950000000000003</v>
      </c>
      <c r="T107" s="230">
        <f>E107+M107+P107</f>
        <v>38.112000000000002</v>
      </c>
      <c r="U107" s="230">
        <f>E107+M107+N107+Q107</f>
        <v>39.391999999999996</v>
      </c>
      <c r="V107" s="230">
        <f>E107+M107+N107+O107+R107</f>
        <v>41.870999999999995</v>
      </c>
      <c r="W107" s="230" t="b">
        <f>C107&lt;=J107</f>
        <v>1</v>
      </c>
      <c r="X107" s="230" t="b">
        <f>AND(C107&lt;=(J107+K107),C107&gt;J107)</f>
        <v>0</v>
      </c>
      <c r="Y107" s="230" t="b">
        <f>AND(C107&lt;=(J107+K107+L107),C107&gt;J107)</f>
        <v>0</v>
      </c>
      <c r="Z107" s="230" t="b">
        <f>C107&gt;(J107+K107+L107)</f>
        <v>0</v>
      </c>
      <c r="AA107" s="231">
        <f>INDEX(S107:V107,MATCH(AC$7,W107:Z107,0))</f>
        <v>37.950000000000003</v>
      </c>
      <c r="AB107" s="231">
        <v>0</v>
      </c>
    </row>
    <row r="108" spans="1:28" x14ac:dyDescent="0.25">
      <c r="A108" s="4" t="s">
        <v>1233</v>
      </c>
      <c r="B108" s="236">
        <v>42389</v>
      </c>
      <c r="C108" s="230">
        <f t="shared" si="13"/>
        <v>3000</v>
      </c>
      <c r="E108" s="231">
        <v>18</v>
      </c>
      <c r="F108" s="231">
        <v>0</v>
      </c>
      <c r="G108" s="231">
        <v>6</v>
      </c>
      <c r="H108" s="231"/>
      <c r="I108" s="231"/>
      <c r="J108" s="230">
        <v>3000</v>
      </c>
      <c r="M108" s="231">
        <f>J108*F108/1000</f>
        <v>0</v>
      </c>
      <c r="N108" s="231"/>
      <c r="O108" s="231"/>
      <c r="P108" s="231">
        <f>(C108-J108)*G108/1000</f>
        <v>0</v>
      </c>
      <c r="Q108" s="231"/>
      <c r="R108" s="231"/>
      <c r="S108" s="231"/>
      <c r="T108" s="231">
        <f>E108+M108+P108</f>
        <v>18</v>
      </c>
      <c r="U108" s="231"/>
      <c r="V108" s="231"/>
      <c r="W108" s="231"/>
      <c r="X108" s="231"/>
      <c r="Y108" s="231"/>
      <c r="Z108" s="231"/>
      <c r="AA108" s="231">
        <f>IF(C108&gt;J108,T108,E108+(F108*C108/1000))</f>
        <v>18</v>
      </c>
      <c r="AB108" s="231">
        <v>0</v>
      </c>
    </row>
    <row r="109" spans="1:28" x14ac:dyDescent="0.25">
      <c r="A109" s="4" t="s">
        <v>1234</v>
      </c>
      <c r="C109" s="230">
        <f t="shared" si="13"/>
        <v>3000</v>
      </c>
      <c r="E109" s="231">
        <v>15.06</v>
      </c>
      <c r="F109" s="231">
        <v>3.98</v>
      </c>
      <c r="AA109" s="231">
        <f>E109+(C109*F109/1000)</f>
        <v>27</v>
      </c>
      <c r="AB109" s="231">
        <v>0</v>
      </c>
    </row>
    <row r="110" spans="1:28" x14ac:dyDescent="0.25">
      <c r="A110" s="4" t="s">
        <v>1235</v>
      </c>
      <c r="B110" s="238" t="s">
        <v>1121</v>
      </c>
      <c r="C110" s="230">
        <f t="shared" si="13"/>
        <v>3000</v>
      </c>
      <c r="D110" s="4"/>
      <c r="F110" s="231">
        <v>6.9</v>
      </c>
      <c r="G110" s="231">
        <v>5.75</v>
      </c>
      <c r="H110" s="231">
        <v>4.25</v>
      </c>
      <c r="J110" s="230">
        <v>2000</v>
      </c>
      <c r="K110" s="230">
        <v>32000</v>
      </c>
      <c r="M110" s="231">
        <f>F110*J110/1000</f>
        <v>13.8</v>
      </c>
      <c r="N110" s="231">
        <f>G110*K110/1000</f>
        <v>184</v>
      </c>
      <c r="O110" s="231"/>
      <c r="P110" s="231">
        <f>(C110-J110)*G110/1000</f>
        <v>5.75</v>
      </c>
      <c r="Q110" s="231">
        <f>(C110-J110-K110)*H110/1000</f>
        <v>-131.75</v>
      </c>
      <c r="R110" s="231"/>
      <c r="S110" s="231">
        <f>E110+(C110*F110)/1000</f>
        <v>20.7</v>
      </c>
      <c r="T110" s="231">
        <f>E110+M110+P110</f>
        <v>19.55</v>
      </c>
      <c r="U110" s="231">
        <f>E110+M110+N110+Q110</f>
        <v>66.050000000000011</v>
      </c>
      <c r="W110" s="230" t="b">
        <f>C110&lt;=J110</f>
        <v>0</v>
      </c>
      <c r="X110" s="230" t="b">
        <f>AND(C110&lt;=(J110+K110),C110&gt;J110)</f>
        <v>1</v>
      </c>
      <c r="Y110" s="230" t="b">
        <f>C110&gt;(J110+K110)</f>
        <v>0</v>
      </c>
      <c r="AA110" s="231">
        <f>INDEX(S110:U110,MATCH(AC$7,W110:Y110,0))</f>
        <v>19.55</v>
      </c>
      <c r="AB110" s="231">
        <v>0</v>
      </c>
    </row>
    <row r="111" spans="1:28" x14ac:dyDescent="0.25">
      <c r="A111" s="4" t="s">
        <v>1236</v>
      </c>
      <c r="C111" s="230">
        <f t="shared" si="13"/>
        <v>3000</v>
      </c>
      <c r="E111" s="231">
        <v>54.55</v>
      </c>
      <c r="F111" s="231">
        <v>5.13</v>
      </c>
      <c r="AA111" s="231">
        <v>0</v>
      </c>
      <c r="AB111" s="231">
        <f>E111+(C111*3*F111)/1000</f>
        <v>100.72</v>
      </c>
    </row>
    <row r="112" spans="1:28" x14ac:dyDescent="0.25">
      <c r="A112" s="4" t="s">
        <v>1237</v>
      </c>
      <c r="B112" s="236">
        <v>42388</v>
      </c>
      <c r="C112" s="230">
        <f t="shared" si="13"/>
        <v>3000</v>
      </c>
      <c r="E112" s="231">
        <v>34.5</v>
      </c>
      <c r="F112" s="231">
        <v>13.89</v>
      </c>
      <c r="AA112" s="231">
        <f>E112+(C112*F112/1000)</f>
        <v>76.17</v>
      </c>
      <c r="AB112" s="231">
        <v>0</v>
      </c>
    </row>
    <row r="113" spans="1:30" x14ac:dyDescent="0.25">
      <c r="A113" s="4" t="s">
        <v>1238</v>
      </c>
      <c r="B113" s="236">
        <v>42388</v>
      </c>
      <c r="C113" s="230">
        <f t="shared" si="13"/>
        <v>3000</v>
      </c>
      <c r="E113" s="231">
        <v>23</v>
      </c>
      <c r="F113" s="231">
        <v>13.89</v>
      </c>
      <c r="AA113" s="231">
        <f>E113+(C113*F113/1000)</f>
        <v>64.67</v>
      </c>
      <c r="AB113" s="231">
        <v>0</v>
      </c>
    </row>
    <row r="114" spans="1:30" x14ac:dyDescent="0.25">
      <c r="A114" s="4" t="s">
        <v>1239</v>
      </c>
      <c r="B114" s="236">
        <v>42389</v>
      </c>
      <c r="C114" s="230">
        <f t="shared" si="13"/>
        <v>3000</v>
      </c>
      <c r="E114" s="231">
        <v>20.5</v>
      </c>
      <c r="F114" s="231">
        <v>7</v>
      </c>
      <c r="AA114" s="231">
        <f>E114+(F114*C114/1000)</f>
        <v>41.5</v>
      </c>
      <c r="AB114" s="231">
        <v>0</v>
      </c>
    </row>
    <row r="115" spans="1:30" x14ac:dyDescent="0.25">
      <c r="A115" s="4" t="s">
        <v>1240</v>
      </c>
      <c r="B115" s="236">
        <v>42389</v>
      </c>
      <c r="C115" s="230">
        <f t="shared" si="13"/>
        <v>3000</v>
      </c>
      <c r="E115" s="231">
        <v>14</v>
      </c>
      <c r="F115" s="231">
        <v>2.3092999999999999</v>
      </c>
      <c r="AA115" s="231">
        <f>E115+(F115*C115/1000)</f>
        <v>20.927900000000001</v>
      </c>
      <c r="AB115" s="231">
        <v>0</v>
      </c>
    </row>
    <row r="116" spans="1:30" x14ac:dyDescent="0.25">
      <c r="A116" s="4" t="s">
        <v>1241</v>
      </c>
      <c r="B116" s="236">
        <v>42389</v>
      </c>
      <c r="C116" s="230">
        <f t="shared" si="13"/>
        <v>3000</v>
      </c>
      <c r="E116" s="231">
        <v>35</v>
      </c>
      <c r="F116" s="231">
        <v>0</v>
      </c>
      <c r="AA116" s="231">
        <f>E116+(F116*C116/1000)</f>
        <v>35</v>
      </c>
      <c r="AB116" s="231">
        <v>0</v>
      </c>
    </row>
    <row r="117" spans="1:30" x14ac:dyDescent="0.25">
      <c r="A117" s="4" t="s">
        <v>1242</v>
      </c>
      <c r="B117" s="238" t="s">
        <v>1121</v>
      </c>
      <c r="C117" s="230">
        <f t="shared" si="13"/>
        <v>3000</v>
      </c>
      <c r="D117" s="4"/>
      <c r="E117" s="231">
        <v>11.38</v>
      </c>
      <c r="F117" s="4">
        <v>3.96</v>
      </c>
      <c r="G117" s="4">
        <v>2.69</v>
      </c>
      <c r="H117" s="4"/>
      <c r="I117" s="4"/>
      <c r="J117" s="230">
        <v>3000</v>
      </c>
      <c r="K117" s="4"/>
      <c r="L117" s="4"/>
      <c r="M117" s="231">
        <f>J117*F117/1000</f>
        <v>11.88</v>
      </c>
      <c r="N117" s="231"/>
      <c r="O117" s="231"/>
      <c r="P117" s="231">
        <f>(C117-J117)*G117/1000</f>
        <v>0</v>
      </c>
      <c r="Q117" s="231"/>
      <c r="R117" s="231"/>
      <c r="S117" s="231"/>
      <c r="T117" s="231">
        <f>E117+M117+P117</f>
        <v>23.26</v>
      </c>
      <c r="U117" s="231"/>
      <c r="V117" s="231"/>
      <c r="W117" s="231"/>
      <c r="X117" s="231"/>
      <c r="Y117" s="231"/>
      <c r="Z117" s="231"/>
      <c r="AA117" s="231">
        <f>IF(C117&gt;J117,T117,E117+(F117*C117/1000))</f>
        <v>23.26</v>
      </c>
      <c r="AB117" s="231">
        <v>0</v>
      </c>
    </row>
    <row r="118" spans="1:30" x14ac:dyDescent="0.25">
      <c r="A118" s="4" t="s">
        <v>1243</v>
      </c>
      <c r="C118" s="230">
        <f t="shared" si="13"/>
        <v>3000</v>
      </c>
      <c r="E118" s="231">
        <v>18.39</v>
      </c>
      <c r="F118" s="231">
        <v>18.39</v>
      </c>
      <c r="G118" s="231">
        <v>6.25</v>
      </c>
      <c r="H118" s="231">
        <v>5.38</v>
      </c>
      <c r="I118" s="231"/>
      <c r="J118" s="230">
        <v>2250</v>
      </c>
      <c r="K118" s="230">
        <v>13667</v>
      </c>
      <c r="M118" s="231">
        <f>F118</f>
        <v>18.39</v>
      </c>
      <c r="N118" s="231">
        <f>G118*K118/1000</f>
        <v>85.418750000000003</v>
      </c>
      <c r="O118" s="231"/>
      <c r="P118" s="231">
        <f>(C118-J118)*G118/1000</f>
        <v>4.6875</v>
      </c>
      <c r="Q118" s="231">
        <f>(C118-(J118+K118))*H118/1000</f>
        <v>-69.493459999999999</v>
      </c>
      <c r="R118" s="231"/>
      <c r="S118" s="231">
        <f>E118</f>
        <v>18.39</v>
      </c>
      <c r="T118" s="230">
        <f>E118+P118</f>
        <v>23.077500000000001</v>
      </c>
      <c r="U118" s="230">
        <f>M118+N118+Q118</f>
        <v>34.315290000000005</v>
      </c>
      <c r="W118" s="230" t="b">
        <f>C118&lt;=J118</f>
        <v>0</v>
      </c>
      <c r="X118" s="230" t="b">
        <f>AND(C118&lt;=(J118+K118),C118&gt;J118)</f>
        <v>1</v>
      </c>
      <c r="Y118" s="230" t="b">
        <f>C118&gt;(J118+K118)</f>
        <v>0</v>
      </c>
      <c r="AA118" s="231">
        <f>INDEX(S118:U118,MATCH($AC$7,W118:Y118,0))</f>
        <v>23.077500000000001</v>
      </c>
      <c r="AB118" s="231">
        <v>0</v>
      </c>
    </row>
    <row r="119" spans="1:30" x14ac:dyDescent="0.25">
      <c r="A119" s="4" t="s">
        <v>1244</v>
      </c>
      <c r="B119" s="235" t="s">
        <v>1121</v>
      </c>
      <c r="C119" s="230">
        <f t="shared" si="13"/>
        <v>3000</v>
      </c>
      <c r="E119" s="231">
        <v>11.58</v>
      </c>
      <c r="F119" s="231">
        <v>5.44</v>
      </c>
      <c r="M119" s="231"/>
      <c r="N119" s="231"/>
      <c r="O119" s="231"/>
      <c r="P119" s="231"/>
      <c r="Q119" s="231"/>
      <c r="R119" s="231"/>
      <c r="S119" s="231"/>
      <c r="T119" s="231"/>
      <c r="U119" s="231"/>
      <c r="V119" s="231"/>
      <c r="W119" s="231"/>
      <c r="X119" s="231"/>
      <c r="Y119" s="231"/>
      <c r="Z119" s="231"/>
      <c r="AA119" s="231">
        <v>0</v>
      </c>
      <c r="AB119" s="231">
        <f>E119+(F119*C119*3/1000)</f>
        <v>60.540000000000006</v>
      </c>
    </row>
    <row r="120" spans="1:30" x14ac:dyDescent="0.25">
      <c r="A120" s="4" t="s">
        <v>1245</v>
      </c>
      <c r="B120" s="235" t="s">
        <v>1121</v>
      </c>
      <c r="C120" s="230">
        <f t="shared" si="13"/>
        <v>3000</v>
      </c>
      <c r="E120" s="231">
        <v>13.4</v>
      </c>
      <c r="F120" s="231">
        <v>6.56</v>
      </c>
      <c r="AA120" s="231">
        <f>E120+(F120*C120/1000)</f>
        <v>33.08</v>
      </c>
      <c r="AB120" s="231">
        <v>0</v>
      </c>
    </row>
    <row r="121" spans="1:30" x14ac:dyDescent="0.25">
      <c r="A121" s="4" t="s">
        <v>1246</v>
      </c>
      <c r="B121" s="236">
        <v>42388</v>
      </c>
      <c r="C121" s="230">
        <f t="shared" si="13"/>
        <v>3000</v>
      </c>
      <c r="E121" s="231">
        <v>17.5</v>
      </c>
      <c r="F121" s="231">
        <v>4</v>
      </c>
      <c r="G121" s="231">
        <v>3.47</v>
      </c>
      <c r="H121" s="231"/>
      <c r="I121" s="231"/>
      <c r="J121" s="230">
        <v>25000</v>
      </c>
      <c r="M121" s="231">
        <f>J121*F121/1000</f>
        <v>100</v>
      </c>
      <c r="N121" s="231"/>
      <c r="O121" s="231"/>
      <c r="P121" s="231">
        <f>((C121*3)-J121)*G121/1000</f>
        <v>-55.52</v>
      </c>
      <c r="Q121" s="231"/>
      <c r="R121" s="231"/>
      <c r="S121" s="231"/>
      <c r="T121" s="231">
        <f>E121+M121+P121</f>
        <v>61.98</v>
      </c>
      <c r="U121" s="231"/>
      <c r="V121" s="231"/>
      <c r="W121" s="231"/>
      <c r="X121" s="231"/>
      <c r="Y121" s="231"/>
      <c r="Z121" s="231"/>
      <c r="AA121" s="231">
        <v>0</v>
      </c>
      <c r="AB121" s="231">
        <f>IF((C121*3)&gt;J121,T121,E121+(F121*(C121*3)/1000))</f>
        <v>53.5</v>
      </c>
    </row>
    <row r="122" spans="1:30" x14ac:dyDescent="0.25">
      <c r="A122" s="4" t="s">
        <v>1247</v>
      </c>
      <c r="B122" s="236">
        <v>42389</v>
      </c>
      <c r="C122" s="230">
        <f t="shared" si="13"/>
        <v>3000</v>
      </c>
      <c r="E122" s="231">
        <v>15</v>
      </c>
      <c r="F122" s="231">
        <v>5</v>
      </c>
      <c r="G122" s="231"/>
      <c r="H122" s="231"/>
      <c r="I122" s="231"/>
      <c r="M122" s="231"/>
      <c r="N122" s="231"/>
      <c r="O122" s="231"/>
      <c r="P122" s="231"/>
      <c r="Q122" s="231"/>
      <c r="R122" s="231"/>
      <c r="S122" s="231"/>
      <c r="T122" s="231"/>
      <c r="U122" s="231"/>
      <c r="V122" s="231"/>
      <c r="W122" s="231"/>
      <c r="X122" s="231"/>
      <c r="Y122" s="231"/>
      <c r="Z122" s="231"/>
      <c r="AA122" s="231">
        <f>E122+(F122*C122/1000)</f>
        <v>30</v>
      </c>
      <c r="AB122" s="231">
        <f>AA122*3</f>
        <v>90</v>
      </c>
    </row>
    <row r="123" spans="1:30" x14ac:dyDescent="0.25">
      <c r="A123" s="4" t="s">
        <v>1248</v>
      </c>
      <c r="B123" s="236">
        <v>42389</v>
      </c>
      <c r="C123" s="230">
        <f t="shared" si="13"/>
        <v>3000</v>
      </c>
      <c r="E123" s="231">
        <v>6.5</v>
      </c>
      <c r="F123" s="231">
        <v>8.2524999999999995</v>
      </c>
      <c r="G123" s="231"/>
      <c r="H123" s="231"/>
      <c r="I123" s="231"/>
      <c r="M123" s="231"/>
      <c r="N123" s="231"/>
      <c r="O123" s="231"/>
      <c r="P123" s="231"/>
      <c r="Q123" s="231"/>
      <c r="R123" s="231"/>
      <c r="S123" s="231"/>
      <c r="T123" s="231"/>
      <c r="U123" s="231"/>
      <c r="V123" s="231"/>
      <c r="W123" s="231"/>
      <c r="X123" s="231"/>
      <c r="Y123" s="231"/>
      <c r="Z123" s="231"/>
      <c r="AA123" s="231">
        <f>E123+(F123*C123/1000)</f>
        <v>31.2575</v>
      </c>
      <c r="AB123" s="231">
        <v>0</v>
      </c>
    </row>
    <row r="124" spans="1:30" x14ac:dyDescent="0.25">
      <c r="A124" s="4" t="s">
        <v>1249</v>
      </c>
      <c r="B124" s="235" t="s">
        <v>1121</v>
      </c>
      <c r="C124" s="230">
        <f t="shared" si="13"/>
        <v>3000</v>
      </c>
      <c r="E124" s="231">
        <v>50.5</v>
      </c>
      <c r="M124" s="231"/>
      <c r="N124" s="231"/>
      <c r="O124" s="231"/>
      <c r="P124" s="231"/>
      <c r="Q124" s="231"/>
      <c r="R124" s="231"/>
      <c r="S124" s="231"/>
      <c r="T124" s="231"/>
      <c r="U124" s="231"/>
      <c r="V124" s="231"/>
      <c r="W124" s="231"/>
      <c r="X124" s="231"/>
      <c r="Y124" s="231"/>
      <c r="Z124" s="231"/>
      <c r="AA124" s="231">
        <v>0</v>
      </c>
      <c r="AB124" s="231">
        <f>E124+(F124*C124*3/1000)</f>
        <v>50.5</v>
      </c>
    </row>
    <row r="125" spans="1:30" x14ac:dyDescent="0.25">
      <c r="A125" s="4" t="s">
        <v>1250</v>
      </c>
      <c r="B125" s="235" t="s">
        <v>1121</v>
      </c>
      <c r="C125" s="230">
        <f t="shared" si="13"/>
        <v>3000</v>
      </c>
      <c r="E125" s="231">
        <v>10</v>
      </c>
      <c r="M125" s="231"/>
      <c r="N125" s="231"/>
      <c r="O125" s="231"/>
      <c r="P125" s="231"/>
      <c r="Q125" s="231"/>
      <c r="R125" s="231"/>
      <c r="S125" s="231"/>
      <c r="T125" s="231"/>
      <c r="U125" s="231"/>
      <c r="V125" s="231"/>
      <c r="W125" s="231"/>
      <c r="X125" s="231"/>
      <c r="Y125" s="231"/>
      <c r="Z125" s="231"/>
      <c r="AA125" s="231">
        <f>E125+(F125*C125/1000)</f>
        <v>10</v>
      </c>
      <c r="AB125" s="231">
        <v>0</v>
      </c>
    </row>
    <row r="126" spans="1:30" x14ac:dyDescent="0.25">
      <c r="A126" s="4" t="s">
        <v>1251</v>
      </c>
      <c r="B126" s="235" t="s">
        <v>1121</v>
      </c>
      <c r="C126" s="230">
        <f t="shared" si="13"/>
        <v>3000</v>
      </c>
      <c r="E126" s="231">
        <v>15.05</v>
      </c>
      <c r="F126" s="231">
        <v>4.1100000000000003</v>
      </c>
      <c r="M126" s="231"/>
      <c r="N126" s="231"/>
      <c r="O126" s="231"/>
      <c r="P126" s="231"/>
      <c r="Q126" s="231"/>
      <c r="R126" s="231"/>
      <c r="S126" s="231"/>
      <c r="T126" s="231"/>
      <c r="U126" s="231"/>
      <c r="V126" s="231"/>
      <c r="W126" s="231"/>
      <c r="X126" s="231"/>
      <c r="Y126" s="231"/>
      <c r="Z126" s="231"/>
      <c r="AA126" s="231">
        <f>E126+(F126*C126/1000)</f>
        <v>27.380000000000003</v>
      </c>
      <c r="AB126" s="231">
        <v>0</v>
      </c>
    </row>
    <row r="127" spans="1:30" x14ac:dyDescent="0.25">
      <c r="A127" s="4" t="s">
        <v>1252</v>
      </c>
      <c r="B127" s="235" t="s">
        <v>1121</v>
      </c>
      <c r="C127" s="230">
        <f t="shared" si="13"/>
        <v>3000</v>
      </c>
      <c r="E127" s="231">
        <v>16.8</v>
      </c>
      <c r="F127" s="231">
        <v>9.5275999999999996</v>
      </c>
      <c r="M127" s="231"/>
      <c r="N127" s="231"/>
      <c r="O127" s="231"/>
      <c r="P127" s="231"/>
      <c r="Q127" s="231"/>
      <c r="R127" s="231"/>
      <c r="S127" s="231"/>
      <c r="T127" s="231"/>
      <c r="U127" s="231"/>
      <c r="V127" s="231"/>
      <c r="W127" s="231"/>
      <c r="X127" s="231"/>
      <c r="Y127" s="231"/>
      <c r="Z127" s="231"/>
      <c r="AA127" s="231">
        <f>E127+(F127*C127/1000)</f>
        <v>45.382800000000003</v>
      </c>
      <c r="AB127" s="231">
        <v>0</v>
      </c>
      <c r="AC127" s="246"/>
      <c r="AD127" s="246"/>
    </row>
    <row r="128" spans="1:30" x14ac:dyDescent="0.25">
      <c r="A128" s="4" t="s">
        <v>1253</v>
      </c>
      <c r="B128" s="235" t="s">
        <v>1121</v>
      </c>
      <c r="C128" s="230">
        <f t="shared" si="13"/>
        <v>3000</v>
      </c>
      <c r="E128" s="231">
        <v>58.57</v>
      </c>
      <c r="M128" s="231"/>
      <c r="N128" s="231"/>
      <c r="O128" s="231"/>
      <c r="P128" s="231"/>
      <c r="Q128" s="231"/>
      <c r="R128" s="231"/>
      <c r="S128" s="231"/>
      <c r="T128" s="231"/>
      <c r="U128" s="231"/>
      <c r="V128" s="231"/>
      <c r="W128" s="231"/>
      <c r="X128" s="231"/>
      <c r="Y128" s="231"/>
      <c r="Z128" s="231"/>
      <c r="AA128" s="231">
        <v>0</v>
      </c>
      <c r="AB128" s="231">
        <f>E128+(F128*C128*3/1000)</f>
        <v>58.57</v>
      </c>
    </row>
    <row r="129" spans="1:30" x14ac:dyDescent="0.25">
      <c r="A129" s="4" t="s">
        <v>1254</v>
      </c>
      <c r="B129" s="248" t="s">
        <v>1201</v>
      </c>
      <c r="C129" s="230">
        <f t="shared" si="13"/>
        <v>3000</v>
      </c>
      <c r="D129" s="4"/>
      <c r="E129" s="4">
        <v>10.67</v>
      </c>
      <c r="F129" s="4"/>
      <c r="G129" s="4">
        <v>3.63</v>
      </c>
      <c r="H129" s="249"/>
      <c r="I129" s="4"/>
      <c r="J129" s="4">
        <v>2500</v>
      </c>
      <c r="K129" s="4"/>
      <c r="L129" s="4"/>
      <c r="M129" s="4"/>
      <c r="N129" s="4"/>
      <c r="O129" s="4"/>
      <c r="P129" s="4"/>
      <c r="Q129" s="4"/>
      <c r="R129" s="4"/>
      <c r="S129" s="4"/>
      <c r="T129" s="4"/>
      <c r="U129" s="4"/>
      <c r="V129" s="4"/>
      <c r="W129" s="4"/>
      <c r="X129" s="4"/>
      <c r="Y129" s="4"/>
      <c r="Z129" s="4"/>
      <c r="AA129" s="231">
        <f>IF(J129&gt;=C129,E129,(((C129-J129)*G129/1000)+E129))</f>
        <v>12.484999999999999</v>
      </c>
      <c r="AB129" s="231">
        <v>0</v>
      </c>
    </row>
    <row r="130" spans="1:30" x14ac:dyDescent="0.25">
      <c r="A130" s="4" t="s">
        <v>1255</v>
      </c>
      <c r="B130" s="248" t="s">
        <v>1201</v>
      </c>
      <c r="C130" s="230">
        <f t="shared" si="13"/>
        <v>3000</v>
      </c>
      <c r="D130" s="4"/>
      <c r="E130" s="4">
        <v>22.7</v>
      </c>
      <c r="F130" s="4"/>
      <c r="G130" s="4">
        <v>2.27</v>
      </c>
      <c r="H130" s="249"/>
      <c r="I130" s="4"/>
      <c r="J130" s="4">
        <v>10000</v>
      </c>
      <c r="K130" s="4"/>
      <c r="L130" s="4"/>
      <c r="M130" s="4"/>
      <c r="N130" s="4"/>
      <c r="O130" s="4"/>
      <c r="P130" s="4"/>
      <c r="Q130" s="4"/>
      <c r="R130" s="4"/>
      <c r="S130" s="4"/>
      <c r="T130" s="4"/>
      <c r="U130" s="4"/>
      <c r="V130" s="4"/>
      <c r="W130" s="4"/>
      <c r="X130" s="4"/>
      <c r="Y130" s="4"/>
      <c r="Z130" s="4"/>
      <c r="AA130" s="231">
        <v>0</v>
      </c>
      <c r="AB130" s="231">
        <f>IF(J130&gt;=(C130*3),E130,((((C130*3)-J130)*G130/1000)+E130))</f>
        <v>22.7</v>
      </c>
    </row>
    <row r="131" spans="1:30" x14ac:dyDescent="0.25">
      <c r="A131" s="4" t="s">
        <v>1256</v>
      </c>
      <c r="B131" s="248" t="s">
        <v>1201</v>
      </c>
      <c r="C131" s="230">
        <f t="shared" ref="C131:C151" si="14">AE$10</f>
        <v>3000</v>
      </c>
      <c r="D131" s="4"/>
      <c r="E131" s="4">
        <v>18.16</v>
      </c>
      <c r="F131" s="4"/>
      <c r="G131" s="4">
        <v>2.27</v>
      </c>
      <c r="H131" s="249"/>
      <c r="I131" s="4"/>
      <c r="J131" s="4">
        <v>8000</v>
      </c>
      <c r="K131" s="4"/>
      <c r="L131" s="4"/>
      <c r="M131" s="4"/>
      <c r="N131" s="4"/>
      <c r="O131" s="4"/>
      <c r="P131" s="4"/>
      <c r="Q131" s="4"/>
      <c r="R131" s="4"/>
      <c r="S131" s="4"/>
      <c r="T131" s="4"/>
      <c r="U131" s="4"/>
      <c r="V131" s="4"/>
      <c r="W131" s="4"/>
      <c r="X131" s="4"/>
      <c r="Y131" s="4"/>
      <c r="Z131" s="4"/>
      <c r="AA131" s="231">
        <v>0</v>
      </c>
      <c r="AB131" s="231">
        <f>IF(J131&gt;=(C131*3),E131,((((C131*3)-J131)*G131/1000)+E131))</f>
        <v>20.43</v>
      </c>
    </row>
    <row r="132" spans="1:30" x14ac:dyDescent="0.25">
      <c r="A132" s="4" t="s">
        <v>1257</v>
      </c>
      <c r="B132" s="235" t="s">
        <v>1121</v>
      </c>
      <c r="C132" s="230">
        <f t="shared" si="14"/>
        <v>3000</v>
      </c>
      <c r="E132" s="231">
        <v>13</v>
      </c>
      <c r="F132" s="231">
        <v>11.31</v>
      </c>
      <c r="G132" s="244"/>
      <c r="H132" s="244"/>
      <c r="I132" s="244"/>
      <c r="M132" s="231"/>
      <c r="N132" s="231"/>
      <c r="O132" s="231"/>
      <c r="P132" s="231"/>
      <c r="Q132" s="231"/>
      <c r="R132" s="231"/>
      <c r="S132" s="231"/>
      <c r="T132" s="231"/>
      <c r="U132" s="231"/>
      <c r="V132" s="231"/>
      <c r="W132" s="231"/>
      <c r="X132" s="231"/>
      <c r="Y132" s="231"/>
      <c r="Z132" s="231"/>
      <c r="AA132" s="231">
        <f>E132+(F132*C132/1000)</f>
        <v>46.93</v>
      </c>
      <c r="AB132" s="231">
        <f>(E132*3)+(F132*C132*3/1000)</f>
        <v>140.79000000000002</v>
      </c>
    </row>
    <row r="133" spans="1:30" x14ac:dyDescent="0.25">
      <c r="A133" s="4" t="s">
        <v>1258</v>
      </c>
      <c r="C133" s="230">
        <f t="shared" si="14"/>
        <v>3000</v>
      </c>
      <c r="E133" s="231">
        <v>45.75</v>
      </c>
      <c r="F133" s="231">
        <v>5.97</v>
      </c>
      <c r="AA133" s="231">
        <f>E133+(C133*F133/1000)</f>
        <v>63.66</v>
      </c>
      <c r="AB133" s="231">
        <f>AA133*3</f>
        <v>190.98</v>
      </c>
      <c r="AC133" s="4"/>
      <c r="AD133" s="4"/>
    </row>
    <row r="134" spans="1:30" x14ac:dyDescent="0.25">
      <c r="A134" s="4" t="s">
        <v>1259</v>
      </c>
      <c r="C134" s="230">
        <f t="shared" si="14"/>
        <v>3000</v>
      </c>
      <c r="E134" s="231">
        <v>30.5</v>
      </c>
      <c r="F134" s="231">
        <v>5.97</v>
      </c>
      <c r="AA134" s="231">
        <f>E134+(C134*F134/1000)</f>
        <v>48.41</v>
      </c>
      <c r="AB134" s="231">
        <f>AA134*3</f>
        <v>145.22999999999999</v>
      </c>
    </row>
    <row r="135" spans="1:30" x14ac:dyDescent="0.25">
      <c r="A135" s="4" t="s">
        <v>1260</v>
      </c>
      <c r="C135" s="230">
        <f t="shared" si="14"/>
        <v>3000</v>
      </c>
      <c r="AA135" s="231">
        <v>60.35</v>
      </c>
      <c r="AB135" s="231">
        <v>0</v>
      </c>
    </row>
    <row r="136" spans="1:30" x14ac:dyDescent="0.25">
      <c r="A136" s="4" t="s">
        <v>1261</v>
      </c>
      <c r="C136" s="230">
        <f t="shared" si="14"/>
        <v>3000</v>
      </c>
      <c r="E136" s="231">
        <v>45.02</v>
      </c>
      <c r="F136" s="231">
        <v>4.29</v>
      </c>
      <c r="G136" s="244">
        <v>3.871</v>
      </c>
      <c r="H136" s="244">
        <v>3.464</v>
      </c>
      <c r="I136" s="244"/>
      <c r="J136" s="230">
        <v>34000</v>
      </c>
      <c r="K136" s="230">
        <v>120000</v>
      </c>
      <c r="M136" s="231">
        <f>F136*J136/1000</f>
        <v>145.86000000000001</v>
      </c>
      <c r="N136" s="231">
        <f>G136*K136/1000</f>
        <v>464.52</v>
      </c>
      <c r="O136" s="231"/>
      <c r="P136" s="231">
        <f>((C136*3)-J136)*G136/1000</f>
        <v>-96.775000000000006</v>
      </c>
      <c r="Q136" s="231">
        <f>((C136*3)-J136-K136)*H136/1000</f>
        <v>-502.28</v>
      </c>
      <c r="R136" s="231"/>
      <c r="S136" s="231">
        <f>E136+(C136*3*F136)/1000</f>
        <v>83.63</v>
      </c>
      <c r="T136" s="230">
        <f>E136+M136+P136</f>
        <v>94.105000000000018</v>
      </c>
      <c r="U136" s="230">
        <f>E136+M136+N136+Q136</f>
        <v>153.12</v>
      </c>
      <c r="W136" s="230" t="b">
        <f>C136*3&lt;=J136</f>
        <v>1</v>
      </c>
      <c r="X136" s="230" t="b">
        <f>AND(C136*3&lt;=(J136+K136),C136*3&gt;J136)</f>
        <v>0</v>
      </c>
      <c r="Y136" s="230" t="b">
        <f>C136*3&gt;(J136+K136)</f>
        <v>0</v>
      </c>
      <c r="AA136" s="231">
        <v>0</v>
      </c>
      <c r="AB136" s="231">
        <f>INDEX(S136:U136,MATCH($AC$7,W136:Y136,0))</f>
        <v>83.63</v>
      </c>
    </row>
    <row r="137" spans="1:30" x14ac:dyDescent="0.25">
      <c r="A137" s="4" t="s">
        <v>1262</v>
      </c>
      <c r="C137" s="230">
        <f t="shared" si="14"/>
        <v>3000</v>
      </c>
      <c r="E137" s="231">
        <v>18.940000000000001</v>
      </c>
      <c r="F137" s="231">
        <v>4.29</v>
      </c>
      <c r="G137" s="244">
        <v>3.871</v>
      </c>
      <c r="H137" s="244">
        <v>3.464</v>
      </c>
      <c r="I137" s="244"/>
      <c r="J137" s="230">
        <v>34000</v>
      </c>
      <c r="K137" s="230">
        <v>120000</v>
      </c>
      <c r="M137" s="231">
        <f>F137*J137/1000</f>
        <v>145.86000000000001</v>
      </c>
      <c r="N137" s="231">
        <f>G137*K137/1000</f>
        <v>464.52</v>
      </c>
      <c r="O137" s="231"/>
      <c r="P137" s="231">
        <f>((C137*3)-J137)*G137/1000</f>
        <v>-96.775000000000006</v>
      </c>
      <c r="Q137" s="231">
        <f>((C137*3)-J137-K137)*H137/1000</f>
        <v>-502.28</v>
      </c>
      <c r="R137" s="231"/>
      <c r="S137" s="231">
        <f>E137+(C137*3*F137)/1000</f>
        <v>57.55</v>
      </c>
      <c r="T137" s="230">
        <f>E137+M137+P137</f>
        <v>68.025000000000006</v>
      </c>
      <c r="U137" s="230">
        <f>E137+M137+N137+Q137</f>
        <v>127.03999999999996</v>
      </c>
      <c r="W137" s="230" t="b">
        <f>C137*3&lt;=J137</f>
        <v>1</v>
      </c>
      <c r="X137" s="230" t="b">
        <f>AND(C137*3&lt;=(J137+K137),C137*3&gt;J137)</f>
        <v>0</v>
      </c>
      <c r="Y137" s="230" t="b">
        <f>C137*3&gt;(J137+K137)</f>
        <v>0</v>
      </c>
      <c r="AA137" s="231">
        <v>0</v>
      </c>
      <c r="AB137" s="231">
        <f>INDEX(S137:U137,MATCH($AC$7,W137:Y137,0))</f>
        <v>57.55</v>
      </c>
    </row>
    <row r="138" spans="1:30" x14ac:dyDescent="0.25">
      <c r="A138" s="4" t="s">
        <v>1263</v>
      </c>
      <c r="B138" s="236">
        <v>42388</v>
      </c>
      <c r="C138" s="230">
        <f t="shared" si="14"/>
        <v>3000</v>
      </c>
      <c r="E138" s="231">
        <v>13.75</v>
      </c>
      <c r="F138" s="231">
        <v>7.7506000000000004</v>
      </c>
      <c r="G138" s="237">
        <v>5.4321000000000002</v>
      </c>
      <c r="H138" s="237"/>
      <c r="I138" s="237"/>
      <c r="J138" s="230">
        <v>25000</v>
      </c>
      <c r="K138" s="237"/>
      <c r="L138" s="237"/>
      <c r="M138" s="231">
        <f>F138*J138/1000</f>
        <v>193.76499999999999</v>
      </c>
      <c r="N138" s="237"/>
      <c r="O138" s="237"/>
      <c r="P138" s="231">
        <f>(C138-J138)*G138/1000</f>
        <v>-119.50619999999999</v>
      </c>
      <c r="Q138" s="231"/>
      <c r="R138" s="231"/>
      <c r="S138" s="231"/>
      <c r="T138" s="231">
        <f>E138+M138+P138</f>
        <v>88.008799999999994</v>
      </c>
      <c r="U138" s="231"/>
      <c r="V138" s="231"/>
      <c r="W138" s="231"/>
      <c r="X138" s="231"/>
      <c r="Y138" s="231"/>
      <c r="Z138" s="231"/>
      <c r="AA138" s="231">
        <f>IF((C138)&gt;J138,T138,E138+(F138*(C138)/1000))</f>
        <v>37.001800000000003</v>
      </c>
      <c r="AB138" s="231">
        <v>0</v>
      </c>
    </row>
    <row r="139" spans="1:30" x14ac:dyDescent="0.25">
      <c r="A139" s="4" t="s">
        <v>1264</v>
      </c>
      <c r="C139" s="230">
        <f t="shared" si="14"/>
        <v>3000</v>
      </c>
      <c r="E139" s="231">
        <v>25.25</v>
      </c>
      <c r="F139" s="231">
        <v>4.6100000000000003</v>
      </c>
      <c r="AA139" s="231">
        <f>E139+(C139*F139/1000)</f>
        <v>39.08</v>
      </c>
      <c r="AB139" s="231">
        <v>0</v>
      </c>
    </row>
    <row r="140" spans="1:30" x14ac:dyDescent="0.25">
      <c r="A140" s="4" t="s">
        <v>1265</v>
      </c>
      <c r="C140" s="230">
        <f t="shared" si="14"/>
        <v>3000</v>
      </c>
      <c r="E140" s="231">
        <v>16.829999999999998</v>
      </c>
      <c r="F140" s="231">
        <v>4.6100000000000003</v>
      </c>
      <c r="AA140" s="231">
        <f>E140+(C140*F140/1000)</f>
        <v>30.66</v>
      </c>
      <c r="AB140" s="231">
        <v>0</v>
      </c>
    </row>
    <row r="141" spans="1:30" x14ac:dyDescent="0.25">
      <c r="A141" s="4" t="s">
        <v>1266</v>
      </c>
      <c r="B141" s="235" t="s">
        <v>1121</v>
      </c>
      <c r="C141" s="230">
        <f t="shared" si="14"/>
        <v>3000</v>
      </c>
      <c r="E141" s="231">
        <v>12</v>
      </c>
      <c r="F141" s="231">
        <v>6.59</v>
      </c>
      <c r="G141" s="244"/>
      <c r="H141" s="244"/>
      <c r="I141" s="244"/>
      <c r="M141" s="231"/>
      <c r="N141" s="231"/>
      <c r="O141" s="231"/>
      <c r="P141" s="231"/>
      <c r="Q141" s="231"/>
      <c r="R141" s="231"/>
      <c r="S141" s="231"/>
      <c r="T141" s="231"/>
      <c r="U141" s="231"/>
      <c r="V141" s="231"/>
      <c r="W141" s="231"/>
      <c r="X141" s="231"/>
      <c r="Y141" s="231"/>
      <c r="Z141" s="231"/>
      <c r="AA141" s="231">
        <f>E141+(F141*C141/1000)</f>
        <v>31.77</v>
      </c>
      <c r="AB141" s="231">
        <f>(E141*3)+(F141*C141*3/1000)</f>
        <v>95.31</v>
      </c>
    </row>
    <row r="142" spans="1:30" x14ac:dyDescent="0.25">
      <c r="A142" s="4" t="s">
        <v>1267</v>
      </c>
      <c r="B142" s="238" t="s">
        <v>1121</v>
      </c>
      <c r="C142" s="230">
        <f t="shared" si="14"/>
        <v>3000</v>
      </c>
      <c r="D142" s="4"/>
      <c r="E142" s="231">
        <v>6</v>
      </c>
      <c r="F142" s="4">
        <v>2.02</v>
      </c>
      <c r="G142" s="4">
        <v>1</v>
      </c>
      <c r="H142" s="4"/>
      <c r="I142" s="4"/>
      <c r="J142" s="230">
        <v>10000</v>
      </c>
      <c r="K142" s="4"/>
      <c r="L142" s="4"/>
      <c r="M142" s="231">
        <f>J142*F142/1000</f>
        <v>20.2</v>
      </c>
      <c r="N142" s="231"/>
      <c r="O142" s="231"/>
      <c r="P142" s="231">
        <f>(C142-J142)*G142/1000</f>
        <v>-7</v>
      </c>
      <c r="Q142" s="231"/>
      <c r="R142" s="231"/>
      <c r="S142" s="231"/>
      <c r="T142" s="231">
        <f>E142+M142+P142</f>
        <v>19.2</v>
      </c>
      <c r="U142" s="231"/>
      <c r="V142" s="231"/>
      <c r="W142" s="231"/>
      <c r="X142" s="231"/>
      <c r="Y142" s="231"/>
      <c r="Z142" s="231"/>
      <c r="AA142" s="231">
        <f>IF(C142&gt;J142,T142,E142+(F142*C142/1000))</f>
        <v>12.059999999999999</v>
      </c>
      <c r="AB142" s="231">
        <v>0</v>
      </c>
    </row>
    <row r="143" spans="1:30" x14ac:dyDescent="0.25">
      <c r="A143" s="4" t="s">
        <v>1268</v>
      </c>
      <c r="B143" s="236">
        <v>42388</v>
      </c>
      <c r="C143" s="230">
        <f t="shared" si="14"/>
        <v>3000</v>
      </c>
      <c r="E143" s="231">
        <v>29.48</v>
      </c>
      <c r="F143" s="231">
        <f>4.33*1.33681</f>
        <v>5.7883873000000001</v>
      </c>
      <c r="AA143" s="231">
        <f>E143+(C143*F143/1000)</f>
        <v>46.845161900000001</v>
      </c>
      <c r="AB143" s="231">
        <v>0</v>
      </c>
    </row>
    <row r="144" spans="1:30" x14ac:dyDescent="0.25">
      <c r="A144" s="4" t="s">
        <v>1269</v>
      </c>
      <c r="B144" s="236">
        <v>42388</v>
      </c>
      <c r="C144" s="230">
        <f t="shared" si="14"/>
        <v>3000</v>
      </c>
      <c r="E144" s="231">
        <v>19.649999999999999</v>
      </c>
      <c r="F144" s="231">
        <f>4.33*1.33681</f>
        <v>5.7883873000000001</v>
      </c>
      <c r="AA144" s="231">
        <f>E144+(C144*F144/1000)</f>
        <v>37.015161899999995</v>
      </c>
      <c r="AB144" s="231">
        <v>0</v>
      </c>
    </row>
    <row r="145" spans="1:28" x14ac:dyDescent="0.25">
      <c r="A145" s="4" t="s">
        <v>1270</v>
      </c>
      <c r="B145" s="235" t="s">
        <v>1121</v>
      </c>
      <c r="C145" s="230">
        <f t="shared" si="14"/>
        <v>3000</v>
      </c>
      <c r="E145" s="231">
        <v>43.75</v>
      </c>
      <c r="M145" s="231"/>
      <c r="N145" s="231"/>
      <c r="O145" s="231"/>
      <c r="P145" s="231"/>
      <c r="Q145" s="231"/>
      <c r="R145" s="231"/>
      <c r="S145" s="231"/>
      <c r="T145" s="231"/>
      <c r="U145" s="231"/>
      <c r="V145" s="231"/>
      <c r="W145" s="231"/>
      <c r="X145" s="231"/>
      <c r="Y145" s="231"/>
      <c r="Z145" s="231"/>
      <c r="AA145" s="231">
        <v>0</v>
      </c>
      <c r="AB145" s="231">
        <f>E145+(F145*C145*3/1000)</f>
        <v>43.75</v>
      </c>
    </row>
    <row r="146" spans="1:28" x14ac:dyDescent="0.25">
      <c r="A146" s="4" t="s">
        <v>1271</v>
      </c>
      <c r="C146" s="230">
        <f t="shared" si="14"/>
        <v>3000</v>
      </c>
      <c r="E146" s="231">
        <v>26.68</v>
      </c>
      <c r="F146" s="231">
        <v>4.88</v>
      </c>
      <c r="AA146" s="231">
        <f>E146+(C146*F146/1000)</f>
        <v>41.32</v>
      </c>
      <c r="AB146" s="231">
        <v>0</v>
      </c>
    </row>
    <row r="147" spans="1:28" x14ac:dyDescent="0.25">
      <c r="A147" s="4" t="s">
        <v>1272</v>
      </c>
      <c r="C147" s="230">
        <f t="shared" si="14"/>
        <v>3000</v>
      </c>
      <c r="E147" s="231">
        <v>19.78</v>
      </c>
      <c r="F147" s="231">
        <v>4.88</v>
      </c>
      <c r="AA147" s="231">
        <f>E147+(C147*F147/1000)</f>
        <v>34.42</v>
      </c>
      <c r="AB147" s="231">
        <v>0</v>
      </c>
    </row>
    <row r="148" spans="1:28" x14ac:dyDescent="0.25">
      <c r="A148" s="4" t="s">
        <v>1273</v>
      </c>
      <c r="B148" s="248" t="s">
        <v>1201</v>
      </c>
      <c r="C148" s="230">
        <f t="shared" si="14"/>
        <v>3000</v>
      </c>
      <c r="D148" s="4"/>
      <c r="E148" s="4">
        <v>22.26</v>
      </c>
      <c r="F148" s="4"/>
      <c r="G148" s="4">
        <v>3.98</v>
      </c>
      <c r="H148" s="249"/>
      <c r="I148" s="4"/>
      <c r="J148" s="4">
        <v>1667</v>
      </c>
      <c r="K148" s="4"/>
      <c r="L148" s="4"/>
      <c r="M148" s="4"/>
      <c r="N148" s="4"/>
      <c r="O148" s="4"/>
      <c r="P148" s="4"/>
      <c r="Q148" s="4"/>
      <c r="R148" s="4"/>
      <c r="S148" s="4"/>
      <c r="T148" s="4"/>
      <c r="U148" s="4"/>
      <c r="V148" s="4"/>
      <c r="W148" s="4"/>
      <c r="X148" s="4"/>
      <c r="Y148" s="4"/>
      <c r="Z148" s="4"/>
      <c r="AA148" s="231">
        <f>IF(J148&gt;=C148,E148,(((C148-J148)*G148/1000)+E148))</f>
        <v>27.565340000000003</v>
      </c>
      <c r="AB148" s="231">
        <v>0</v>
      </c>
    </row>
    <row r="149" spans="1:28" x14ac:dyDescent="0.25">
      <c r="A149" s="4" t="s">
        <v>1274</v>
      </c>
      <c r="B149" s="236">
        <v>42390</v>
      </c>
      <c r="C149" s="230">
        <f t="shared" si="14"/>
        <v>3000</v>
      </c>
      <c r="E149" s="231">
        <v>24</v>
      </c>
      <c r="F149" s="231">
        <v>7</v>
      </c>
      <c r="AA149" s="231">
        <f>E149+(C149*F149/1000)</f>
        <v>45</v>
      </c>
      <c r="AB149" s="231"/>
    </row>
    <row r="150" spans="1:28" x14ac:dyDescent="0.25">
      <c r="A150" s="4" t="s">
        <v>1275</v>
      </c>
      <c r="B150" s="236">
        <v>42389</v>
      </c>
      <c r="C150" s="230">
        <f t="shared" si="14"/>
        <v>3000</v>
      </c>
      <c r="E150" s="231">
        <v>22</v>
      </c>
      <c r="F150" s="231">
        <v>4.4349999999999996</v>
      </c>
      <c r="AA150" s="231">
        <f>E150+(C150*F150/1000)</f>
        <v>35.305</v>
      </c>
      <c r="AB150" s="231">
        <v>0</v>
      </c>
    </row>
    <row r="151" spans="1:28" x14ac:dyDescent="0.25">
      <c r="A151" s="4" t="s">
        <v>1118</v>
      </c>
      <c r="B151" s="236">
        <v>42389</v>
      </c>
      <c r="C151" s="230">
        <f t="shared" si="14"/>
        <v>3000</v>
      </c>
      <c r="E151" s="231">
        <v>16</v>
      </c>
      <c r="F151" s="231">
        <v>4.4349999999999996</v>
      </c>
      <c r="AA151" s="231">
        <f>E151+(C151*F151/1000)</f>
        <v>29.305</v>
      </c>
      <c r="AB151" s="231">
        <v>0</v>
      </c>
    </row>
  </sheetData>
  <mergeCells count="36">
    <mergeCell ref="AE35:AF36"/>
    <mergeCell ref="AE5:AF5"/>
    <mergeCell ref="AE6:AF6"/>
    <mergeCell ref="AE8:AF8"/>
    <mergeCell ref="AE9:AF9"/>
    <mergeCell ref="AE10:AF10"/>
    <mergeCell ref="AE19:AF21"/>
    <mergeCell ref="AE23:AF23"/>
    <mergeCell ref="AE25:AF25"/>
    <mergeCell ref="AE27:AF29"/>
    <mergeCell ref="AE31:AF33"/>
    <mergeCell ref="AG11:AG12"/>
    <mergeCell ref="AE12:AE13"/>
    <mergeCell ref="AF12:AF13"/>
    <mergeCell ref="T5:T6"/>
    <mergeCell ref="U5:U6"/>
    <mergeCell ref="V5:V6"/>
    <mergeCell ref="AA5:AA6"/>
    <mergeCell ref="AB5:AB6"/>
    <mergeCell ref="AC5:AC6"/>
    <mergeCell ref="S5:S6"/>
    <mergeCell ref="AE4:AF4"/>
    <mergeCell ref="E5:E6"/>
    <mergeCell ref="F5:F6"/>
    <mergeCell ref="G5:G6"/>
    <mergeCell ref="H5:H6"/>
    <mergeCell ref="I5:I6"/>
    <mergeCell ref="J5:J6"/>
    <mergeCell ref="K5:K6"/>
    <mergeCell ref="L5:L6"/>
    <mergeCell ref="M5:M6"/>
    <mergeCell ref="N5:N6"/>
    <mergeCell ref="O5:O6"/>
    <mergeCell ref="P5:P6"/>
    <mergeCell ref="Q5:Q6"/>
    <mergeCell ref="R5:R6"/>
  </mergeCells>
  <dataValidations count="1">
    <dataValidation type="list" allowBlank="1" showInputMessage="1" showErrorMessage="1" sqref="AE6" xr:uid="{00000000-0002-0000-1B00-000000000000}">
      <formula1>$A$7:$A$151</formula1>
    </dataValidation>
  </dataValidation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92"/>
  <sheetViews>
    <sheetView showGridLines="0" zoomScale="125" zoomScaleNormal="125" zoomScalePageLayoutView="125" workbookViewId="0">
      <selection activeCell="O5" sqref="O5"/>
    </sheetView>
  </sheetViews>
  <sheetFormatPr defaultColWidth="10.85546875" defaultRowHeight="14.1" customHeight="1" x14ac:dyDescent="0.25"/>
  <cols>
    <col min="1" max="1" width="2.7109375" style="1" customWidth="1"/>
    <col min="2" max="2" width="6.7109375" style="1" customWidth="1"/>
    <col min="3" max="3" width="7.140625" style="2" customWidth="1"/>
    <col min="4" max="4" width="39" style="1" customWidth="1"/>
    <col min="5" max="13" width="10.7109375" style="1" customWidth="1"/>
    <col min="14" max="37" width="10.85546875" style="1"/>
    <col min="38" max="60" width="10.85546875" style="1" customWidth="1"/>
    <col min="61" max="16384" width="10.85546875" style="1"/>
  </cols>
  <sheetData>
    <row r="1" spans="2:14" s="9" customFormat="1" ht="9.75" customHeight="1" x14ac:dyDescent="0.25">
      <c r="B1" s="80"/>
    </row>
    <row r="2" spans="2:14" s="8" customFormat="1" ht="37.5" customHeight="1" x14ac:dyDescent="0.25">
      <c r="B2" s="19" t="s">
        <v>53</v>
      </c>
      <c r="C2" s="16"/>
    </row>
    <row r="3" spans="2:14" ht="18.75" customHeight="1" x14ac:dyDescent="0.25">
      <c r="B3" s="256" t="s">
        <v>13</v>
      </c>
      <c r="C3" s="257" t="s">
        <v>54</v>
      </c>
      <c r="D3" s="256" t="s">
        <v>55</v>
      </c>
      <c r="E3" s="256">
        <v>2018</v>
      </c>
      <c r="F3" s="256" t="s">
        <v>56</v>
      </c>
      <c r="G3" s="256" t="s">
        <v>57</v>
      </c>
      <c r="H3" s="256" t="s">
        <v>58</v>
      </c>
      <c r="I3" s="256">
        <v>2017</v>
      </c>
      <c r="J3" s="256" t="s">
        <v>56</v>
      </c>
      <c r="K3" s="256" t="s">
        <v>59</v>
      </c>
      <c r="L3" s="256" t="s">
        <v>58</v>
      </c>
      <c r="M3" s="256">
        <v>2016</v>
      </c>
    </row>
    <row r="4" spans="2:14" ht="18.75" customHeight="1" x14ac:dyDescent="0.25">
      <c r="B4" s="18">
        <v>1</v>
      </c>
      <c r="C4" s="157"/>
      <c r="D4" s="158" t="s">
        <v>60</v>
      </c>
      <c r="E4" s="266"/>
      <c r="F4" s="266"/>
      <c r="G4" s="266"/>
      <c r="H4" s="266"/>
      <c r="I4" s="266"/>
      <c r="J4" s="266"/>
      <c r="K4" s="266"/>
      <c r="L4" s="266"/>
      <c r="M4" s="266"/>
    </row>
    <row r="5" spans="2:14" ht="18.75" customHeight="1" x14ac:dyDescent="0.25">
      <c r="B5" s="18">
        <f>B4+1</f>
        <v>2</v>
      </c>
      <c r="C5" s="157">
        <v>301.10000000000002</v>
      </c>
      <c r="D5" s="158" t="s">
        <v>61</v>
      </c>
      <c r="E5" s="266">
        <v>5302</v>
      </c>
      <c r="F5" s="266"/>
      <c r="G5" s="266"/>
      <c r="H5" s="266"/>
      <c r="I5" s="266">
        <f>(M5+J5+L5)-K5</f>
        <v>5302</v>
      </c>
      <c r="J5" s="266"/>
      <c r="K5" s="266"/>
      <c r="L5" s="266"/>
      <c r="M5" s="266">
        <v>5302</v>
      </c>
    </row>
    <row r="6" spans="2:14" ht="18.75" customHeight="1" x14ac:dyDescent="0.25">
      <c r="B6" s="18">
        <f t="shared" ref="B6:B62" si="0">B5+1</f>
        <v>3</v>
      </c>
      <c r="C6" s="157">
        <v>302.10000000000002</v>
      </c>
      <c r="D6" s="158" t="s">
        <v>62</v>
      </c>
      <c r="E6" s="266">
        <v>4918</v>
      </c>
      <c r="F6" s="266"/>
      <c r="G6" s="266"/>
      <c r="H6" s="266"/>
      <c r="I6" s="266">
        <f>(M6+J6+L6)-K6</f>
        <v>4918</v>
      </c>
      <c r="J6" s="266"/>
      <c r="K6" s="266"/>
      <c r="L6" s="266"/>
      <c r="M6" s="266">
        <v>4918</v>
      </c>
    </row>
    <row r="7" spans="2:14" ht="18.75" customHeight="1" x14ac:dyDescent="0.25">
      <c r="B7" s="18">
        <f t="shared" si="0"/>
        <v>4</v>
      </c>
      <c r="C7" s="157">
        <v>339.1</v>
      </c>
      <c r="D7" s="158" t="s">
        <v>63</v>
      </c>
      <c r="E7" s="266"/>
      <c r="F7" s="266"/>
      <c r="G7" s="266"/>
      <c r="H7" s="266"/>
      <c r="I7" s="266" t="s">
        <v>12</v>
      </c>
      <c r="J7" s="266"/>
      <c r="K7" s="266"/>
      <c r="L7" s="266"/>
      <c r="M7" s="266" t="s">
        <v>12</v>
      </c>
    </row>
    <row r="8" spans="2:14" ht="18.75" customHeight="1" x14ac:dyDescent="0.25">
      <c r="B8" s="18">
        <f t="shared" si="0"/>
        <v>5</v>
      </c>
      <c r="C8" s="157"/>
      <c r="D8" s="158" t="s">
        <v>64</v>
      </c>
      <c r="E8" s="278">
        <f>SUM(E5:E7)</f>
        <v>10220</v>
      </c>
      <c r="F8" s="278"/>
      <c r="G8" s="278"/>
      <c r="H8" s="278"/>
      <c r="I8" s="278">
        <f>SUM(I5:I7)</f>
        <v>10220</v>
      </c>
      <c r="J8" s="278"/>
      <c r="K8" s="278"/>
      <c r="L8" s="278"/>
      <c r="M8" s="278">
        <f>SUM(M5:M7)</f>
        <v>10220</v>
      </c>
      <c r="N8" s="75"/>
    </row>
    <row r="9" spans="2:14" ht="18.75" customHeight="1" x14ac:dyDescent="0.25">
      <c r="B9" s="18">
        <f t="shared" si="0"/>
        <v>6</v>
      </c>
      <c r="C9" s="157"/>
      <c r="D9" s="158"/>
      <c r="E9" s="268"/>
      <c r="F9" s="268"/>
      <c r="G9" s="268"/>
      <c r="H9" s="268"/>
      <c r="I9" s="268"/>
      <c r="J9" s="268"/>
      <c r="K9" s="268"/>
      <c r="L9" s="268"/>
      <c r="M9" s="268"/>
    </row>
    <row r="10" spans="2:14" ht="18.75" customHeight="1" x14ac:dyDescent="0.25">
      <c r="B10" s="18">
        <f t="shared" si="0"/>
        <v>7</v>
      </c>
      <c r="C10" s="157"/>
      <c r="D10" s="158" t="s">
        <v>65</v>
      </c>
      <c r="E10" s="266"/>
      <c r="F10" s="266"/>
      <c r="G10" s="266"/>
      <c r="H10" s="266"/>
      <c r="I10" s="266"/>
      <c r="J10" s="266"/>
      <c r="K10" s="266"/>
      <c r="L10" s="266"/>
      <c r="M10" s="266"/>
    </row>
    <row r="11" spans="2:14" ht="18.75" customHeight="1" x14ac:dyDescent="0.25">
      <c r="B11" s="18">
        <f t="shared" si="0"/>
        <v>8</v>
      </c>
      <c r="C11" s="157">
        <v>303.2</v>
      </c>
      <c r="D11" s="158" t="s">
        <v>66</v>
      </c>
      <c r="E11" s="266">
        <v>2018259</v>
      </c>
      <c r="F11" s="266">
        <v>3010</v>
      </c>
      <c r="G11" s="266"/>
      <c r="H11" s="266"/>
      <c r="I11" s="266">
        <f>(M11+J11+L11)-K11</f>
        <v>2015249</v>
      </c>
      <c r="J11" s="266"/>
      <c r="K11" s="266"/>
      <c r="L11" s="266"/>
      <c r="M11" s="266">
        <v>2015249</v>
      </c>
    </row>
    <row r="12" spans="2:14" ht="18.75" customHeight="1" x14ac:dyDescent="0.25">
      <c r="B12" s="18">
        <f t="shared" si="0"/>
        <v>9</v>
      </c>
      <c r="C12" s="157">
        <v>304.2</v>
      </c>
      <c r="D12" s="158" t="s">
        <v>67</v>
      </c>
      <c r="E12" s="266">
        <v>14979403</v>
      </c>
      <c r="F12" s="266">
        <v>5812990</v>
      </c>
      <c r="G12" s="266">
        <v>1738</v>
      </c>
      <c r="H12" s="266"/>
      <c r="I12" s="266">
        <f>(M12+J12+L12)-K12</f>
        <v>9168151</v>
      </c>
      <c r="J12" s="266">
        <v>119227</v>
      </c>
      <c r="K12" s="266">
        <v>31033</v>
      </c>
      <c r="L12" s="266">
        <v>-1952</v>
      </c>
      <c r="M12" s="266">
        <v>9081909</v>
      </c>
    </row>
    <row r="13" spans="2:14" ht="18.75" customHeight="1" x14ac:dyDescent="0.25">
      <c r="B13" s="18">
        <f t="shared" si="0"/>
        <v>10</v>
      </c>
      <c r="C13" s="157">
        <v>305.2</v>
      </c>
      <c r="D13" s="158" t="s">
        <v>68</v>
      </c>
      <c r="E13" s="266">
        <v>4640397</v>
      </c>
      <c r="F13" s="266"/>
      <c r="G13" s="266"/>
      <c r="H13" s="266"/>
      <c r="I13" s="266">
        <f>(M13+J13+L13)-K13</f>
        <v>4640397</v>
      </c>
      <c r="J13" s="266"/>
      <c r="K13" s="266"/>
      <c r="L13" s="266"/>
      <c r="M13" s="266">
        <v>4640397</v>
      </c>
    </row>
    <row r="14" spans="2:14" ht="18.75" customHeight="1" x14ac:dyDescent="0.25">
      <c r="B14" s="18">
        <f t="shared" si="0"/>
        <v>11</v>
      </c>
      <c r="C14" s="157">
        <v>306.2</v>
      </c>
      <c r="D14" s="158" t="s">
        <v>69</v>
      </c>
      <c r="E14" s="266">
        <v>3683677</v>
      </c>
      <c r="F14" s="266"/>
      <c r="G14" s="266"/>
      <c r="H14" s="266"/>
      <c r="I14" s="266">
        <f>(M14+J14+L14)-K14</f>
        <v>3683677</v>
      </c>
      <c r="J14" s="266"/>
      <c r="K14" s="266"/>
      <c r="L14" s="266"/>
      <c r="M14" s="266">
        <v>3683677</v>
      </c>
    </row>
    <row r="15" spans="2:14" ht="18.75" customHeight="1" x14ac:dyDescent="0.25">
      <c r="B15" s="18">
        <f t="shared" si="0"/>
        <v>12</v>
      </c>
      <c r="C15" s="157">
        <v>307.2</v>
      </c>
      <c r="D15" s="158" t="s">
        <v>70</v>
      </c>
      <c r="E15" s="266">
        <v>50350</v>
      </c>
      <c r="F15" s="266"/>
      <c r="G15" s="266"/>
      <c r="H15" s="266"/>
      <c r="I15" s="266">
        <f>(M15+J15+L15)-K15</f>
        <v>50350</v>
      </c>
      <c r="J15" s="266"/>
      <c r="K15" s="266"/>
      <c r="L15" s="266"/>
      <c r="M15" s="266">
        <v>50350</v>
      </c>
    </row>
    <row r="16" spans="2:14" ht="18.75" customHeight="1" x14ac:dyDescent="0.25">
      <c r="B16" s="18">
        <f t="shared" si="0"/>
        <v>13</v>
      </c>
      <c r="C16" s="157">
        <v>308.2</v>
      </c>
      <c r="D16" s="158" t="s">
        <v>71</v>
      </c>
      <c r="E16" s="266"/>
      <c r="F16" s="266"/>
      <c r="G16" s="266"/>
      <c r="H16" s="266"/>
      <c r="I16" s="266" t="s">
        <v>12</v>
      </c>
      <c r="J16" s="266"/>
      <c r="K16" s="266"/>
      <c r="L16" s="266"/>
      <c r="M16" s="266" t="s">
        <v>12</v>
      </c>
    </row>
    <row r="17" spans="2:14" ht="18.75" customHeight="1" x14ac:dyDescent="0.25">
      <c r="B17" s="18">
        <f t="shared" si="0"/>
        <v>14</v>
      </c>
      <c r="C17" s="157">
        <v>309.2</v>
      </c>
      <c r="D17" s="158" t="s">
        <v>72</v>
      </c>
      <c r="E17" s="266">
        <v>8343935</v>
      </c>
      <c r="F17" s="266">
        <v>1767451</v>
      </c>
      <c r="G17" s="266"/>
      <c r="H17" s="266"/>
      <c r="I17" s="266">
        <f>(M17+J17+L17)-K17</f>
        <v>6576484</v>
      </c>
      <c r="J17" s="266">
        <v>6399065</v>
      </c>
      <c r="K17" s="266"/>
      <c r="L17" s="266"/>
      <c r="M17" s="266">
        <v>177419</v>
      </c>
    </row>
    <row r="18" spans="2:14" ht="18.75" customHeight="1" x14ac:dyDescent="0.25">
      <c r="B18" s="18">
        <f t="shared" si="0"/>
        <v>15</v>
      </c>
      <c r="C18" s="157">
        <v>310.2</v>
      </c>
      <c r="D18" s="158" t="s">
        <v>73</v>
      </c>
      <c r="E18" s="266">
        <v>2512151</v>
      </c>
      <c r="F18" s="266">
        <v>1033115</v>
      </c>
      <c r="G18" s="266"/>
      <c r="H18" s="266"/>
      <c r="I18" s="266">
        <f>(M18+J18+L18)-K18</f>
        <v>1479036</v>
      </c>
      <c r="J18" s="266">
        <v>1065</v>
      </c>
      <c r="K18" s="266"/>
      <c r="L18" s="266">
        <v>1383</v>
      </c>
      <c r="M18" s="266">
        <v>1476588</v>
      </c>
    </row>
    <row r="19" spans="2:14" ht="18.75" customHeight="1" x14ac:dyDescent="0.25">
      <c r="B19" s="18">
        <f t="shared" si="0"/>
        <v>16</v>
      </c>
      <c r="C19" s="157">
        <v>311.2</v>
      </c>
      <c r="D19" s="158" t="s">
        <v>74</v>
      </c>
      <c r="E19" s="266">
        <v>6384213</v>
      </c>
      <c r="F19" s="266">
        <v>546678</v>
      </c>
      <c r="G19" s="266">
        <v>29866</v>
      </c>
      <c r="H19" s="266"/>
      <c r="I19" s="266">
        <f>(M19+J19+L19)-K19</f>
        <v>5867401</v>
      </c>
      <c r="J19" s="266">
        <v>109320</v>
      </c>
      <c r="K19" s="266">
        <v>11306</v>
      </c>
      <c r="L19" s="266">
        <v>-1383</v>
      </c>
      <c r="M19" s="266">
        <v>5770770</v>
      </c>
    </row>
    <row r="20" spans="2:14" ht="18.75" customHeight="1" x14ac:dyDescent="0.25">
      <c r="B20" s="18">
        <f t="shared" si="0"/>
        <v>17</v>
      </c>
      <c r="C20" s="157">
        <v>339.2</v>
      </c>
      <c r="D20" s="158" t="s">
        <v>63</v>
      </c>
      <c r="E20" s="266"/>
      <c r="F20" s="266"/>
      <c r="G20" s="266"/>
      <c r="H20" s="266"/>
      <c r="I20" s="266" t="s">
        <v>12</v>
      </c>
      <c r="J20" s="266"/>
      <c r="K20" s="266"/>
      <c r="L20" s="266"/>
      <c r="M20" s="266"/>
    </row>
    <row r="21" spans="2:14" ht="18.75" customHeight="1" x14ac:dyDescent="0.25">
      <c r="B21" s="18">
        <f t="shared" si="0"/>
        <v>18</v>
      </c>
      <c r="C21" s="157"/>
      <c r="D21" s="158" t="s">
        <v>75</v>
      </c>
      <c r="E21" s="278">
        <f>SUM(E11:E20)</f>
        <v>42612385</v>
      </c>
      <c r="F21" s="278">
        <f t="shared" ref="F21:G21" si="1">SUM(F11:F20)</f>
        <v>9163244</v>
      </c>
      <c r="G21" s="278">
        <f t="shared" si="1"/>
        <v>31604</v>
      </c>
      <c r="H21" s="278"/>
      <c r="I21" s="278">
        <f>SUM(I11:I20)</f>
        <v>33480745</v>
      </c>
      <c r="J21" s="278">
        <f t="shared" ref="J21:M21" si="2">SUM(J11:J20)</f>
        <v>6628677</v>
      </c>
      <c r="K21" s="278">
        <f t="shared" si="2"/>
        <v>42339</v>
      </c>
      <c r="L21" s="278">
        <f t="shared" si="2"/>
        <v>-1952</v>
      </c>
      <c r="M21" s="278">
        <f t="shared" si="2"/>
        <v>26896359</v>
      </c>
      <c r="N21" s="75"/>
    </row>
    <row r="22" spans="2:14" ht="18.75" customHeight="1" x14ac:dyDescent="0.25">
      <c r="B22" s="18">
        <f t="shared" si="0"/>
        <v>19</v>
      </c>
      <c r="C22" s="157"/>
      <c r="D22" s="158"/>
      <c r="E22" s="268"/>
      <c r="F22" s="268"/>
      <c r="G22" s="268"/>
      <c r="H22" s="268"/>
      <c r="I22" s="268"/>
      <c r="J22" s="268"/>
      <c r="K22" s="268"/>
      <c r="L22" s="268"/>
      <c r="M22" s="268"/>
    </row>
    <row r="23" spans="2:14" ht="18.75" customHeight="1" x14ac:dyDescent="0.25">
      <c r="B23" s="18">
        <f t="shared" si="0"/>
        <v>20</v>
      </c>
      <c r="C23" s="157"/>
      <c r="D23" s="158" t="s">
        <v>76</v>
      </c>
      <c r="E23" s="266"/>
      <c r="F23" s="266"/>
      <c r="G23" s="266"/>
      <c r="H23" s="266"/>
      <c r="I23" s="266"/>
      <c r="J23" s="266"/>
      <c r="K23" s="266"/>
      <c r="L23" s="266"/>
      <c r="M23" s="266"/>
    </row>
    <row r="24" spans="2:14" ht="18.75" customHeight="1" x14ac:dyDescent="0.25">
      <c r="B24" s="18">
        <f t="shared" si="0"/>
        <v>21</v>
      </c>
      <c r="C24" s="157">
        <v>303.3</v>
      </c>
      <c r="D24" s="158" t="s">
        <v>66</v>
      </c>
      <c r="E24" s="266">
        <v>26734</v>
      </c>
      <c r="F24" s="266"/>
      <c r="G24" s="266"/>
      <c r="H24" s="266"/>
      <c r="I24" s="266">
        <f>(M24+J24+L24)-K24</f>
        <v>26734</v>
      </c>
      <c r="J24" s="266"/>
      <c r="K24" s="266"/>
      <c r="L24" s="266"/>
      <c r="M24" s="266">
        <v>26734</v>
      </c>
    </row>
    <row r="25" spans="2:14" ht="18.75" customHeight="1" x14ac:dyDescent="0.25">
      <c r="B25" s="18">
        <f t="shared" si="0"/>
        <v>22</v>
      </c>
      <c r="C25" s="157">
        <v>304.3</v>
      </c>
      <c r="D25" s="158" t="s">
        <v>67</v>
      </c>
      <c r="E25" s="266">
        <v>3106681</v>
      </c>
      <c r="F25" s="266">
        <v>116441</v>
      </c>
      <c r="G25" s="266">
        <v>121706</v>
      </c>
      <c r="H25" s="266"/>
      <c r="I25" s="266">
        <v>3111946</v>
      </c>
      <c r="J25" s="266">
        <v>58730</v>
      </c>
      <c r="K25" s="266">
        <v>1000</v>
      </c>
      <c r="L25" s="266"/>
      <c r="M25" s="266">
        <v>3054216</v>
      </c>
    </row>
    <row r="26" spans="2:14" ht="18.75" customHeight="1" x14ac:dyDescent="0.25">
      <c r="B26" s="18">
        <f t="shared" si="0"/>
        <v>23</v>
      </c>
      <c r="C26" s="157">
        <v>310.3</v>
      </c>
      <c r="D26" s="158" t="s">
        <v>73</v>
      </c>
      <c r="E26" s="266"/>
      <c r="F26" s="266"/>
      <c r="G26" s="266"/>
      <c r="H26" s="266"/>
      <c r="I26" s="266" t="s">
        <v>12</v>
      </c>
      <c r="J26" s="266"/>
      <c r="K26" s="266"/>
      <c r="L26" s="266"/>
      <c r="M26" s="266" t="s">
        <v>12</v>
      </c>
    </row>
    <row r="27" spans="2:14" ht="18.75" customHeight="1" x14ac:dyDescent="0.25">
      <c r="B27" s="18">
        <f t="shared" si="0"/>
        <v>24</v>
      </c>
      <c r="C27" s="157">
        <v>311.3</v>
      </c>
      <c r="D27" s="158" t="s">
        <v>74</v>
      </c>
      <c r="E27" s="266">
        <v>78284</v>
      </c>
      <c r="F27" s="266">
        <v>3656</v>
      </c>
      <c r="G27" s="266"/>
      <c r="H27" s="266"/>
      <c r="I27" s="266">
        <f>(M27+J27+L27)-K27</f>
        <v>74628</v>
      </c>
      <c r="J27" s="266">
        <v>36114</v>
      </c>
      <c r="K27" s="266">
        <v>11678</v>
      </c>
      <c r="L27" s="266"/>
      <c r="M27" s="266">
        <v>50192</v>
      </c>
    </row>
    <row r="28" spans="2:14" ht="18.75" customHeight="1" x14ac:dyDescent="0.25">
      <c r="B28" s="18">
        <f t="shared" si="0"/>
        <v>25</v>
      </c>
      <c r="C28" s="157">
        <v>320.3</v>
      </c>
      <c r="D28" s="158" t="s">
        <v>77</v>
      </c>
      <c r="E28" s="266">
        <v>19923409</v>
      </c>
      <c r="F28" s="266">
        <v>544883</v>
      </c>
      <c r="G28" s="266">
        <v>18091</v>
      </c>
      <c r="H28" s="266"/>
      <c r="I28" s="266">
        <f>(M28+J28+L28)-K28</f>
        <v>19396617</v>
      </c>
      <c r="J28" s="266">
        <v>187333</v>
      </c>
      <c r="K28" s="266">
        <v>24752</v>
      </c>
      <c r="L28" s="266"/>
      <c r="M28" s="266">
        <v>19234036</v>
      </c>
    </row>
    <row r="29" spans="2:14" ht="18.75" customHeight="1" x14ac:dyDescent="0.25">
      <c r="B29" s="18">
        <f t="shared" si="0"/>
        <v>26</v>
      </c>
      <c r="C29" s="157">
        <v>339.3</v>
      </c>
      <c r="D29" s="158" t="s">
        <v>63</v>
      </c>
      <c r="E29" s="266"/>
      <c r="F29" s="266"/>
      <c r="G29" s="266"/>
      <c r="H29" s="266"/>
      <c r="I29" s="266" t="s">
        <v>12</v>
      </c>
      <c r="J29" s="266"/>
      <c r="K29" s="266"/>
      <c r="L29" s="266"/>
      <c r="M29" s="266" t="s">
        <v>12</v>
      </c>
    </row>
    <row r="30" spans="2:14" ht="18.75" customHeight="1" x14ac:dyDescent="0.25">
      <c r="B30" s="18">
        <f t="shared" si="0"/>
        <v>27</v>
      </c>
      <c r="C30" s="157">
        <v>349.3</v>
      </c>
      <c r="D30" s="158" t="s">
        <v>78</v>
      </c>
      <c r="E30" s="266"/>
      <c r="F30" s="266"/>
      <c r="G30" s="266"/>
      <c r="H30" s="266"/>
      <c r="I30" s="266" t="s">
        <v>12</v>
      </c>
      <c r="J30" s="266"/>
      <c r="K30" s="266"/>
      <c r="L30" s="266"/>
      <c r="M30" s="266" t="s">
        <v>12</v>
      </c>
    </row>
    <row r="31" spans="2:14" ht="18.75" customHeight="1" x14ac:dyDescent="0.25">
      <c r="B31" s="18">
        <f t="shared" si="0"/>
        <v>28</v>
      </c>
      <c r="C31" s="157">
        <v>350.3</v>
      </c>
      <c r="D31" s="158" t="s">
        <v>79</v>
      </c>
      <c r="E31" s="266"/>
      <c r="F31" s="266"/>
      <c r="G31" s="266"/>
      <c r="H31" s="266"/>
      <c r="I31" s="266" t="s">
        <v>12</v>
      </c>
      <c r="J31" s="266"/>
      <c r="K31" s="266"/>
      <c r="L31" s="266"/>
      <c r="M31" s="266" t="s">
        <v>12</v>
      </c>
    </row>
    <row r="32" spans="2:14" ht="18.75" customHeight="1" x14ac:dyDescent="0.25">
      <c r="B32" s="18">
        <f t="shared" si="0"/>
        <v>29</v>
      </c>
      <c r="C32" s="157"/>
      <c r="D32" s="158" t="s">
        <v>80</v>
      </c>
      <c r="E32" s="278">
        <f>SUM(E24:E31)</f>
        <v>23135108</v>
      </c>
      <c r="F32" s="278">
        <f t="shared" ref="F32:G32" si="3">SUM(F24:F31)</f>
        <v>664980</v>
      </c>
      <c r="G32" s="278">
        <f t="shared" si="3"/>
        <v>139797</v>
      </c>
      <c r="H32" s="278"/>
      <c r="I32" s="278">
        <f>SUM(I24:I31)</f>
        <v>22609925</v>
      </c>
      <c r="J32" s="278">
        <f>SUM(J24:J31)</f>
        <v>282177</v>
      </c>
      <c r="K32" s="278">
        <f>SUM(K24:K31)</f>
        <v>37430</v>
      </c>
      <c r="L32" s="278"/>
      <c r="M32" s="278">
        <f>SUM(M24:M31)</f>
        <v>22365178</v>
      </c>
      <c r="N32" s="75"/>
    </row>
    <row r="33" spans="2:14" ht="18.75" customHeight="1" x14ac:dyDescent="0.25">
      <c r="B33" s="18">
        <f t="shared" si="0"/>
        <v>30</v>
      </c>
      <c r="C33" s="157"/>
      <c r="D33" s="158"/>
      <c r="E33" s="268"/>
      <c r="F33" s="268"/>
      <c r="G33" s="268"/>
      <c r="H33" s="268"/>
      <c r="I33" s="268"/>
      <c r="J33" s="268"/>
      <c r="K33" s="268"/>
      <c r="L33" s="268"/>
      <c r="M33" s="268"/>
    </row>
    <row r="34" spans="2:14" ht="18.75" customHeight="1" x14ac:dyDescent="0.25">
      <c r="B34" s="18">
        <f t="shared" si="0"/>
        <v>31</v>
      </c>
      <c r="C34" s="157"/>
      <c r="D34" s="158" t="s">
        <v>81</v>
      </c>
      <c r="E34" s="266"/>
      <c r="F34" s="266"/>
      <c r="G34" s="266"/>
      <c r="H34" s="266"/>
      <c r="I34" s="266"/>
      <c r="J34" s="266"/>
      <c r="K34" s="266"/>
      <c r="L34" s="266"/>
      <c r="M34" s="266"/>
    </row>
    <row r="35" spans="2:14" ht="18.75" customHeight="1" x14ac:dyDescent="0.25">
      <c r="B35" s="18">
        <f t="shared" si="0"/>
        <v>32</v>
      </c>
      <c r="C35" s="157">
        <v>303.39999999999998</v>
      </c>
      <c r="D35" s="158" t="s">
        <v>66</v>
      </c>
      <c r="E35" s="266">
        <v>744745</v>
      </c>
      <c r="F35" s="266"/>
      <c r="G35" s="266"/>
      <c r="H35" s="266"/>
      <c r="I35" s="266">
        <f>(M35+J35+L35)-K35</f>
        <v>741571</v>
      </c>
      <c r="J35" s="266">
        <v>23831</v>
      </c>
      <c r="K35" s="266"/>
      <c r="L35" s="266"/>
      <c r="M35" s="266">
        <v>717740</v>
      </c>
    </row>
    <row r="36" spans="2:14" ht="18.75" customHeight="1" x14ac:dyDescent="0.25">
      <c r="B36" s="18">
        <f t="shared" si="0"/>
        <v>33</v>
      </c>
      <c r="C36" s="157">
        <v>304.39999999999998</v>
      </c>
      <c r="D36" s="158" t="s">
        <v>67</v>
      </c>
      <c r="E36" s="266"/>
      <c r="F36" s="266"/>
      <c r="G36" s="266"/>
      <c r="H36" s="266"/>
      <c r="I36" s="266" t="s">
        <v>12</v>
      </c>
      <c r="J36" s="266"/>
      <c r="K36" s="266"/>
      <c r="L36" s="266"/>
      <c r="M36" s="266" t="s">
        <v>12</v>
      </c>
    </row>
    <row r="37" spans="2:14" ht="18.75" customHeight="1" x14ac:dyDescent="0.25">
      <c r="B37" s="18">
        <f t="shared" si="0"/>
        <v>34</v>
      </c>
      <c r="C37" s="157">
        <v>310.3</v>
      </c>
      <c r="D37" s="158" t="s">
        <v>73</v>
      </c>
      <c r="E37" s="266">
        <v>203539</v>
      </c>
      <c r="F37" s="266">
        <v>203539</v>
      </c>
      <c r="G37" s="266"/>
      <c r="H37" s="266"/>
      <c r="I37" s="266" t="s">
        <v>12</v>
      </c>
      <c r="J37" s="266"/>
      <c r="K37" s="266"/>
      <c r="L37" s="266"/>
      <c r="M37" s="266" t="s">
        <v>12</v>
      </c>
    </row>
    <row r="38" spans="2:14" ht="18.75" customHeight="1" x14ac:dyDescent="0.25">
      <c r="B38" s="18">
        <f t="shared" si="0"/>
        <v>35</v>
      </c>
      <c r="C38" s="157">
        <v>311.39999999999998</v>
      </c>
      <c r="D38" s="158" t="s">
        <v>74</v>
      </c>
      <c r="E38" s="266">
        <v>4531</v>
      </c>
      <c r="F38" s="266"/>
      <c r="G38" s="266"/>
      <c r="H38" s="266"/>
      <c r="I38" s="266">
        <f t="shared" ref="I38:I44" si="4">(M38+J38+L38)-K38</f>
        <v>4531</v>
      </c>
      <c r="J38" s="266"/>
      <c r="K38" s="266"/>
      <c r="L38" s="266"/>
      <c r="M38" s="266">
        <v>4531</v>
      </c>
    </row>
    <row r="39" spans="2:14" ht="18.75" customHeight="1" x14ac:dyDescent="0.25">
      <c r="B39" s="18">
        <f t="shared" si="0"/>
        <v>36</v>
      </c>
      <c r="C39" s="157">
        <v>330.4</v>
      </c>
      <c r="D39" s="158" t="s">
        <v>82</v>
      </c>
      <c r="E39" s="266">
        <v>22111392</v>
      </c>
      <c r="F39" s="266">
        <v>508329</v>
      </c>
      <c r="G39" s="266"/>
      <c r="H39" s="266"/>
      <c r="I39" s="266">
        <f t="shared" si="4"/>
        <v>21603063</v>
      </c>
      <c r="J39" s="266">
        <v>658453</v>
      </c>
      <c r="K39" s="266">
        <v>105752</v>
      </c>
      <c r="L39" s="266"/>
      <c r="M39" s="266">
        <v>21050362</v>
      </c>
    </row>
    <row r="40" spans="2:14" ht="18.75" customHeight="1" x14ac:dyDescent="0.25">
      <c r="B40" s="18">
        <f t="shared" si="0"/>
        <v>37</v>
      </c>
      <c r="C40" s="157">
        <v>331.4</v>
      </c>
      <c r="D40" s="27" t="s">
        <v>83</v>
      </c>
      <c r="E40" s="279">
        <v>189173171</v>
      </c>
      <c r="F40" s="279">
        <v>7829851</v>
      </c>
      <c r="G40" s="279">
        <v>121524</v>
      </c>
      <c r="H40" s="279"/>
      <c r="I40" s="266">
        <f t="shared" si="4"/>
        <v>181464844</v>
      </c>
      <c r="J40" s="266">
        <v>6769326</v>
      </c>
      <c r="K40" s="266">
        <v>133455</v>
      </c>
      <c r="L40" s="266"/>
      <c r="M40" s="266">
        <v>174828973</v>
      </c>
    </row>
    <row r="41" spans="2:14" ht="18.75" customHeight="1" x14ac:dyDescent="0.25">
      <c r="B41" s="18">
        <f t="shared" si="0"/>
        <v>38</v>
      </c>
      <c r="C41" s="157">
        <v>333.4</v>
      </c>
      <c r="D41" s="158" t="s">
        <v>84</v>
      </c>
      <c r="E41" s="266">
        <v>45566295</v>
      </c>
      <c r="F41" s="266">
        <v>2687502</v>
      </c>
      <c r="G41" s="266">
        <v>428801</v>
      </c>
      <c r="H41" s="266"/>
      <c r="I41" s="266">
        <f t="shared" si="4"/>
        <v>43307594</v>
      </c>
      <c r="J41" s="266">
        <v>2324918</v>
      </c>
      <c r="K41" s="266">
        <v>266186</v>
      </c>
      <c r="L41" s="266"/>
      <c r="M41" s="266">
        <v>41248862</v>
      </c>
    </row>
    <row r="42" spans="2:14" ht="18.75" customHeight="1" x14ac:dyDescent="0.25">
      <c r="B42" s="18">
        <f t="shared" si="0"/>
        <v>39</v>
      </c>
      <c r="C42" s="157">
        <v>334.4</v>
      </c>
      <c r="D42" s="158" t="s">
        <v>85</v>
      </c>
      <c r="E42" s="266">
        <v>19412215</v>
      </c>
      <c r="F42" s="266">
        <v>888969</v>
      </c>
      <c r="G42" s="266">
        <v>581050</v>
      </c>
      <c r="H42" s="266"/>
      <c r="I42" s="266">
        <f t="shared" si="4"/>
        <v>19104296</v>
      </c>
      <c r="J42" s="266">
        <v>812050</v>
      </c>
      <c r="K42" s="266">
        <v>549196</v>
      </c>
      <c r="L42" s="266"/>
      <c r="M42" s="266">
        <v>18841442</v>
      </c>
    </row>
    <row r="43" spans="2:14" ht="18.75" customHeight="1" x14ac:dyDescent="0.25">
      <c r="B43" s="18">
        <f t="shared" si="0"/>
        <v>40</v>
      </c>
      <c r="C43" s="157">
        <v>335.4</v>
      </c>
      <c r="D43" s="158" t="s">
        <v>86</v>
      </c>
      <c r="E43" s="266">
        <v>8383184</v>
      </c>
      <c r="F43" s="266">
        <v>430516</v>
      </c>
      <c r="G43" s="266">
        <v>42290</v>
      </c>
      <c r="H43" s="266"/>
      <c r="I43" s="266">
        <f t="shared" si="4"/>
        <v>7994958</v>
      </c>
      <c r="J43" s="266">
        <v>275273</v>
      </c>
      <c r="K43" s="266">
        <v>16680</v>
      </c>
      <c r="L43" s="266"/>
      <c r="M43" s="266">
        <v>7736365</v>
      </c>
    </row>
    <row r="44" spans="2:14" ht="18.75" customHeight="1" x14ac:dyDescent="0.25">
      <c r="B44" s="18">
        <f t="shared" si="0"/>
        <v>41</v>
      </c>
      <c r="C44" s="157">
        <v>336.4</v>
      </c>
      <c r="D44" s="158" t="s">
        <v>87</v>
      </c>
      <c r="E44" s="266">
        <v>494740</v>
      </c>
      <c r="F44" s="266">
        <v>42045</v>
      </c>
      <c r="G44" s="266">
        <v>2016</v>
      </c>
      <c r="H44" s="266"/>
      <c r="I44" s="266">
        <f t="shared" si="4"/>
        <v>454711</v>
      </c>
      <c r="J44" s="266">
        <v>26677</v>
      </c>
      <c r="K44" s="266"/>
      <c r="L44" s="266"/>
      <c r="M44" s="266">
        <v>428034</v>
      </c>
    </row>
    <row r="45" spans="2:14" ht="18.75" customHeight="1" x14ac:dyDescent="0.25">
      <c r="B45" s="18">
        <f t="shared" si="0"/>
        <v>42</v>
      </c>
      <c r="C45" s="157">
        <v>339.4</v>
      </c>
      <c r="D45" s="158" t="s">
        <v>63</v>
      </c>
      <c r="E45" s="266"/>
      <c r="F45" s="266"/>
      <c r="G45" s="266"/>
      <c r="H45" s="266"/>
      <c r="I45" s="266" t="s">
        <v>12</v>
      </c>
      <c r="J45" s="266"/>
      <c r="K45" s="266"/>
      <c r="L45" s="266"/>
      <c r="M45" s="266" t="s">
        <v>12</v>
      </c>
    </row>
    <row r="46" spans="2:14" ht="18.75" customHeight="1" x14ac:dyDescent="0.25">
      <c r="B46" s="18">
        <f t="shared" si="0"/>
        <v>43</v>
      </c>
      <c r="C46" s="157"/>
      <c r="D46" s="158" t="s">
        <v>88</v>
      </c>
      <c r="E46" s="278">
        <f t="shared" ref="E46:G46" si="5">SUM(E35:E45)</f>
        <v>286093812</v>
      </c>
      <c r="F46" s="278">
        <f t="shared" si="5"/>
        <v>12590751</v>
      </c>
      <c r="G46" s="278">
        <f t="shared" si="5"/>
        <v>1175681</v>
      </c>
      <c r="H46" s="278"/>
      <c r="I46" s="278">
        <f>SUM(I35:I45)</f>
        <v>274675568</v>
      </c>
      <c r="J46" s="278">
        <f>SUM(J35:J45)</f>
        <v>10890528</v>
      </c>
      <c r="K46" s="278">
        <f>SUM(K35:K45)</f>
        <v>1071269</v>
      </c>
      <c r="L46" s="278"/>
      <c r="M46" s="278">
        <f>SUM(M35:M45)</f>
        <v>264856309</v>
      </c>
      <c r="N46" s="75"/>
    </row>
    <row r="47" spans="2:14" ht="18.75" customHeight="1" x14ac:dyDescent="0.25">
      <c r="B47" s="18">
        <f t="shared" si="0"/>
        <v>44</v>
      </c>
      <c r="C47" s="157"/>
      <c r="D47" s="158"/>
      <c r="E47" s="268"/>
      <c r="F47" s="268"/>
      <c r="G47" s="268"/>
      <c r="H47" s="268"/>
      <c r="I47" s="268"/>
      <c r="J47" s="268"/>
      <c r="K47" s="268"/>
      <c r="L47" s="268"/>
      <c r="M47" s="268"/>
    </row>
    <row r="48" spans="2:14" ht="18.75" customHeight="1" x14ac:dyDescent="0.25">
      <c r="B48" s="18">
        <f t="shared" si="0"/>
        <v>45</v>
      </c>
      <c r="C48" s="157"/>
      <c r="D48" s="158" t="s">
        <v>89</v>
      </c>
      <c r="E48" s="266"/>
      <c r="F48" s="266"/>
      <c r="G48" s="266"/>
      <c r="H48" s="266"/>
      <c r="I48" s="266"/>
      <c r="J48" s="266"/>
      <c r="K48" s="266"/>
      <c r="L48" s="266"/>
      <c r="M48" s="266"/>
    </row>
    <row r="49" spans="2:14" ht="18.75" customHeight="1" x14ac:dyDescent="0.25">
      <c r="B49" s="18">
        <f t="shared" si="0"/>
        <v>46</v>
      </c>
      <c r="C49" s="157">
        <v>303.5</v>
      </c>
      <c r="D49" s="158" t="s">
        <v>66</v>
      </c>
      <c r="E49" s="266">
        <v>250868</v>
      </c>
      <c r="F49" s="266"/>
      <c r="G49" s="266"/>
      <c r="H49" s="266"/>
      <c r="I49" s="266">
        <f t="shared" ref="I49:I58" si="6">(M49+J49+L49)-K49</f>
        <v>250868</v>
      </c>
      <c r="J49" s="266"/>
      <c r="K49" s="266"/>
      <c r="L49" s="266"/>
      <c r="M49" s="266">
        <v>250868</v>
      </c>
    </row>
    <row r="50" spans="2:14" ht="18.75" customHeight="1" x14ac:dyDescent="0.25">
      <c r="B50" s="18">
        <f t="shared" si="0"/>
        <v>47</v>
      </c>
      <c r="C50" s="157">
        <v>304.5</v>
      </c>
      <c r="D50" s="158" t="s">
        <v>67</v>
      </c>
      <c r="E50" s="266">
        <v>4658772</v>
      </c>
      <c r="F50" s="266">
        <v>183616</v>
      </c>
      <c r="G50" s="266">
        <v>24593</v>
      </c>
      <c r="H50" s="266"/>
      <c r="I50" s="266">
        <f t="shared" si="6"/>
        <v>4499749</v>
      </c>
      <c r="J50" s="266">
        <v>30653</v>
      </c>
      <c r="K50" s="266">
        <v>10992</v>
      </c>
      <c r="L50" s="266"/>
      <c r="M50" s="266">
        <v>4480088</v>
      </c>
    </row>
    <row r="51" spans="2:14" ht="18.75" customHeight="1" x14ac:dyDescent="0.25">
      <c r="B51" s="18">
        <f t="shared" si="0"/>
        <v>48</v>
      </c>
      <c r="C51" s="157">
        <v>340.5</v>
      </c>
      <c r="D51" s="158" t="s">
        <v>90</v>
      </c>
      <c r="E51" s="266">
        <v>9602255</v>
      </c>
      <c r="F51" s="266">
        <v>458313</v>
      </c>
      <c r="G51" s="266">
        <v>26431</v>
      </c>
      <c r="H51" s="266"/>
      <c r="I51" s="266">
        <f t="shared" si="6"/>
        <v>9170373</v>
      </c>
      <c r="J51" s="266">
        <v>369973</v>
      </c>
      <c r="K51" s="266">
        <v>83728</v>
      </c>
      <c r="L51" s="266"/>
      <c r="M51" s="266">
        <v>8884128</v>
      </c>
    </row>
    <row r="52" spans="2:14" ht="18.75" customHeight="1" x14ac:dyDescent="0.25">
      <c r="B52" s="18">
        <f t="shared" si="0"/>
        <v>49</v>
      </c>
      <c r="C52" s="157">
        <v>341.5</v>
      </c>
      <c r="D52" s="158" t="s">
        <v>91</v>
      </c>
      <c r="E52" s="266">
        <v>1589211</v>
      </c>
      <c r="F52" s="266">
        <v>268279</v>
      </c>
      <c r="G52" s="266">
        <v>138491</v>
      </c>
      <c r="H52" s="266"/>
      <c r="I52" s="266">
        <f t="shared" si="6"/>
        <v>1459423</v>
      </c>
      <c r="J52" s="266">
        <v>323463</v>
      </c>
      <c r="K52" s="266">
        <v>228823</v>
      </c>
      <c r="L52" s="266"/>
      <c r="M52" s="266">
        <v>1364783</v>
      </c>
    </row>
    <row r="53" spans="2:14" ht="18.75" customHeight="1" x14ac:dyDescent="0.25">
      <c r="B53" s="18">
        <f t="shared" si="0"/>
        <v>50</v>
      </c>
      <c r="C53" s="157">
        <v>342.5</v>
      </c>
      <c r="D53" s="158" t="s">
        <v>92</v>
      </c>
      <c r="E53" s="266">
        <v>109224</v>
      </c>
      <c r="F53" s="266"/>
      <c r="G53" s="266"/>
      <c r="H53" s="266"/>
      <c r="I53" s="266">
        <f t="shared" si="6"/>
        <v>109224</v>
      </c>
      <c r="J53" s="266">
        <v>21429</v>
      </c>
      <c r="K53" s="266">
        <v>15250</v>
      </c>
      <c r="L53" s="266"/>
      <c r="M53" s="266">
        <v>103045</v>
      </c>
    </row>
    <row r="54" spans="2:14" ht="18.75" customHeight="1" x14ac:dyDescent="0.25">
      <c r="B54" s="18">
        <f t="shared" si="0"/>
        <v>51</v>
      </c>
      <c r="C54" s="157">
        <v>343.5</v>
      </c>
      <c r="D54" s="158" t="s">
        <v>93</v>
      </c>
      <c r="E54" s="266">
        <v>773135</v>
      </c>
      <c r="F54" s="266">
        <v>29325</v>
      </c>
      <c r="G54" s="266">
        <v>9244</v>
      </c>
      <c r="H54" s="266"/>
      <c r="I54" s="266">
        <f t="shared" si="6"/>
        <v>753054</v>
      </c>
      <c r="J54" s="266">
        <v>26315</v>
      </c>
      <c r="K54" s="266"/>
      <c r="L54" s="266"/>
      <c r="M54" s="266">
        <v>726739</v>
      </c>
    </row>
    <row r="55" spans="2:14" ht="18.75" customHeight="1" x14ac:dyDescent="0.25">
      <c r="B55" s="18">
        <f t="shared" si="0"/>
        <v>52</v>
      </c>
      <c r="C55" s="157">
        <v>344.5</v>
      </c>
      <c r="D55" s="158" t="s">
        <v>94</v>
      </c>
      <c r="E55" s="266">
        <v>62892</v>
      </c>
      <c r="F55" s="266">
        <v>4297</v>
      </c>
      <c r="G55" s="266">
        <v>1555</v>
      </c>
      <c r="H55" s="266"/>
      <c r="I55" s="266">
        <f t="shared" si="6"/>
        <v>60150</v>
      </c>
      <c r="J55" s="266">
        <v>6260</v>
      </c>
      <c r="K55" s="266">
        <v>3183</v>
      </c>
      <c r="L55" s="266"/>
      <c r="M55" s="266">
        <v>57073</v>
      </c>
    </row>
    <row r="56" spans="2:14" ht="18.75" customHeight="1" x14ac:dyDescent="0.25">
      <c r="B56" s="18">
        <f t="shared" si="0"/>
        <v>53</v>
      </c>
      <c r="C56" s="157">
        <v>345.5</v>
      </c>
      <c r="D56" s="158" t="s">
        <v>95</v>
      </c>
      <c r="E56" s="266">
        <v>131283</v>
      </c>
      <c r="F56" s="266"/>
      <c r="G56" s="266"/>
      <c r="H56" s="266"/>
      <c r="I56" s="266">
        <f t="shared" si="6"/>
        <v>131283</v>
      </c>
      <c r="J56" s="266"/>
      <c r="K56" s="266">
        <v>61021</v>
      </c>
      <c r="L56" s="266"/>
      <c r="M56" s="266">
        <v>192304</v>
      </c>
    </row>
    <row r="57" spans="2:14" ht="18.75" customHeight="1" x14ac:dyDescent="0.25">
      <c r="B57" s="18">
        <f t="shared" si="0"/>
        <v>54</v>
      </c>
      <c r="C57" s="157">
        <v>346.5</v>
      </c>
      <c r="D57" s="158" t="s">
        <v>96</v>
      </c>
      <c r="E57" s="266">
        <v>2447199</v>
      </c>
      <c r="F57" s="266">
        <v>316234</v>
      </c>
      <c r="G57" s="266"/>
      <c r="H57" s="266"/>
      <c r="I57" s="266">
        <f t="shared" si="6"/>
        <v>1130965</v>
      </c>
      <c r="J57" s="266">
        <v>52869</v>
      </c>
      <c r="K57" s="266">
        <v>2171</v>
      </c>
      <c r="L57" s="266"/>
      <c r="M57" s="266">
        <v>1080267</v>
      </c>
    </row>
    <row r="58" spans="2:14" ht="18.75" customHeight="1" x14ac:dyDescent="0.25">
      <c r="B58" s="18">
        <f t="shared" si="0"/>
        <v>55</v>
      </c>
      <c r="C58" s="157">
        <v>347.5</v>
      </c>
      <c r="D58" s="158" t="s">
        <v>97</v>
      </c>
      <c r="E58" s="266">
        <v>402975</v>
      </c>
      <c r="F58" s="266">
        <v>74689</v>
      </c>
      <c r="G58" s="266"/>
      <c r="H58" s="266"/>
      <c r="I58" s="266">
        <f t="shared" si="6"/>
        <v>328286</v>
      </c>
      <c r="J58" s="266">
        <v>9454</v>
      </c>
      <c r="K58" s="266"/>
      <c r="L58" s="266"/>
      <c r="M58" s="266">
        <v>318832</v>
      </c>
    </row>
    <row r="59" spans="2:14" ht="18.75" customHeight="1" x14ac:dyDescent="0.25">
      <c r="B59" s="18">
        <f t="shared" si="0"/>
        <v>56</v>
      </c>
      <c r="C59" s="157">
        <v>348.5</v>
      </c>
      <c r="D59" s="158" t="s">
        <v>98</v>
      </c>
      <c r="E59" s="266"/>
      <c r="F59" s="266"/>
      <c r="G59" s="266"/>
      <c r="H59" s="266"/>
      <c r="I59" s="266" t="s">
        <v>12</v>
      </c>
      <c r="J59" s="266"/>
      <c r="K59" s="266"/>
      <c r="L59" s="266"/>
      <c r="M59" s="266" t="s">
        <v>12</v>
      </c>
    </row>
    <row r="60" spans="2:14" ht="18.75" customHeight="1" x14ac:dyDescent="0.25">
      <c r="B60" s="18">
        <f t="shared" si="0"/>
        <v>57</v>
      </c>
      <c r="C60" s="157"/>
      <c r="D60" s="158" t="s">
        <v>99</v>
      </c>
      <c r="E60" s="278">
        <f>SUM(E49:E59)</f>
        <v>20027814</v>
      </c>
      <c r="F60" s="278">
        <f t="shared" ref="F60:G60" si="7">SUM(F49:F59)</f>
        <v>1334753</v>
      </c>
      <c r="G60" s="278">
        <f t="shared" si="7"/>
        <v>200314</v>
      </c>
      <c r="H60" s="278"/>
      <c r="I60" s="278">
        <f>SUM(I49:I59)</f>
        <v>17893375</v>
      </c>
      <c r="J60" s="278">
        <f>SUM(J49:J59)</f>
        <v>840416</v>
      </c>
      <c r="K60" s="278">
        <f>SUM(K49:K59)</f>
        <v>405168</v>
      </c>
      <c r="L60" s="278"/>
      <c r="M60" s="278">
        <f>SUM(M49:M59)</f>
        <v>17458127</v>
      </c>
      <c r="N60" s="75"/>
    </row>
    <row r="61" spans="2:14" ht="18.75" customHeight="1" x14ac:dyDescent="0.25">
      <c r="B61" s="18">
        <f t="shared" si="0"/>
        <v>58</v>
      </c>
      <c r="C61" s="157"/>
      <c r="D61" s="158"/>
      <c r="E61" s="280"/>
      <c r="F61" s="280"/>
      <c r="G61" s="280"/>
      <c r="H61" s="280"/>
      <c r="I61" s="280"/>
      <c r="J61" s="280"/>
      <c r="K61" s="280"/>
      <c r="L61" s="280"/>
      <c r="M61" s="280"/>
    </row>
    <row r="62" spans="2:14" ht="18.75" customHeight="1" x14ac:dyDescent="0.25">
      <c r="B62" s="18">
        <f t="shared" si="0"/>
        <v>59</v>
      </c>
      <c r="C62" s="157"/>
      <c r="D62" s="158" t="s">
        <v>100</v>
      </c>
      <c r="E62" s="281">
        <f>E8+E21+E32+E46+E60</f>
        <v>371879339</v>
      </c>
      <c r="F62" s="281">
        <f t="shared" ref="F62:G62" si="8">F8+F21+F32+F46+F60</f>
        <v>23753728</v>
      </c>
      <c r="G62" s="281">
        <f t="shared" si="8"/>
        <v>1547396</v>
      </c>
      <c r="H62" s="281"/>
      <c r="I62" s="281">
        <f>I8+I21+I32+I46+I60</f>
        <v>348669833</v>
      </c>
      <c r="J62" s="281">
        <f t="shared" ref="J62:M62" si="9">J8+J21+J32+J46+J60</f>
        <v>18641798</v>
      </c>
      <c r="K62" s="281">
        <f t="shared" si="9"/>
        <v>1556206</v>
      </c>
      <c r="L62" s="281">
        <f t="shared" si="9"/>
        <v>-1952</v>
      </c>
      <c r="M62" s="281">
        <f t="shared" si="9"/>
        <v>331586193</v>
      </c>
      <c r="N62" s="75"/>
    </row>
    <row r="63" spans="2:14" ht="18.75" customHeight="1" x14ac:dyDescent="0.25">
      <c r="I63" s="1" t="s">
        <v>12</v>
      </c>
    </row>
    <row r="64" spans="2:14" ht="18.75" customHeight="1" x14ac:dyDescent="0.25">
      <c r="B64" s="6" t="s">
        <v>101</v>
      </c>
    </row>
    <row r="65" ht="18.75" customHeight="1" x14ac:dyDescent="0.25"/>
    <row r="66" ht="18.75" customHeight="1" x14ac:dyDescent="0.25"/>
    <row r="67" ht="18.75" customHeight="1" x14ac:dyDescent="0.25"/>
    <row r="68" ht="18.75" customHeight="1" x14ac:dyDescent="0.25"/>
    <row r="69" ht="18.75" customHeight="1" x14ac:dyDescent="0.25"/>
    <row r="70" ht="18.75" customHeight="1" x14ac:dyDescent="0.25"/>
    <row r="71" ht="18.75" customHeight="1" x14ac:dyDescent="0.25"/>
    <row r="72" ht="18.75" customHeight="1" x14ac:dyDescent="0.25"/>
    <row r="73" ht="18.75" customHeight="1" x14ac:dyDescent="0.25"/>
    <row r="74" ht="18.75" customHeight="1" x14ac:dyDescent="0.25"/>
    <row r="75" ht="18.75" customHeight="1" x14ac:dyDescent="0.25"/>
    <row r="76" ht="18.75" customHeight="1" x14ac:dyDescent="0.25"/>
    <row r="77" ht="18.75" customHeight="1" x14ac:dyDescent="0.25"/>
    <row r="78" ht="18.75" customHeight="1" x14ac:dyDescent="0.25"/>
    <row r="79" ht="18.75" customHeight="1" x14ac:dyDescent="0.25"/>
    <row r="80" ht="18.75" customHeight="1" x14ac:dyDescent="0.25"/>
    <row r="81" ht="18.75" customHeight="1" x14ac:dyDescent="0.25"/>
    <row r="82" ht="18.75" customHeight="1" x14ac:dyDescent="0.25"/>
    <row r="83" ht="18.75" customHeight="1" x14ac:dyDescent="0.25"/>
    <row r="84" ht="18.75" customHeight="1" x14ac:dyDescent="0.25"/>
    <row r="85" ht="18.75" customHeight="1" x14ac:dyDescent="0.25"/>
    <row r="86" ht="18.75" customHeight="1" x14ac:dyDescent="0.25"/>
    <row r="87" ht="18.75" customHeight="1" x14ac:dyDescent="0.25"/>
    <row r="88" ht="18.75" customHeight="1" x14ac:dyDescent="0.25"/>
    <row r="89" ht="18.75" customHeight="1" x14ac:dyDescent="0.25"/>
    <row r="90" ht="18.75" customHeight="1" x14ac:dyDescent="0.25"/>
    <row r="91" ht="18.75" customHeight="1" x14ac:dyDescent="0.25"/>
    <row r="92" ht="18.75" customHeight="1" x14ac:dyDescent="0.25"/>
  </sheetData>
  <pageMargins left="0.75" right="0.75" top="1" bottom="1" header="0.5" footer="0.5"/>
  <pageSetup orientation="portrait" horizontalDpi="4294967292" verticalDpi="4294967292" r:id="rId1"/>
  <ignoredErrors>
    <ignoredError sqref="J21:L21 I5:I6" emptyCellReference="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62"/>
  <sheetViews>
    <sheetView showGridLines="0" workbookViewId="0">
      <selection activeCell="K5" sqref="K5"/>
    </sheetView>
  </sheetViews>
  <sheetFormatPr defaultColWidth="9.140625" defaultRowHeight="15" x14ac:dyDescent="0.25"/>
  <cols>
    <col min="1" max="1" width="2.7109375" style="100" customWidth="1"/>
    <col min="2" max="2" width="6.7109375" style="100" customWidth="1"/>
    <col min="3" max="3" width="9.140625" style="100"/>
    <col min="4" max="4" width="40.42578125" style="100" customWidth="1"/>
    <col min="5" max="5" width="14.7109375" style="154" customWidth="1"/>
    <col min="6" max="6" width="14.7109375" style="100" customWidth="1"/>
    <col min="7" max="16384" width="9.140625" style="100"/>
  </cols>
  <sheetData>
    <row r="1" spans="1:7" s="9" customFormat="1" ht="9.75" customHeight="1" x14ac:dyDescent="0.25">
      <c r="B1" s="80"/>
    </row>
    <row r="2" spans="1:7" ht="37.5" customHeight="1" x14ac:dyDescent="0.25">
      <c r="A2" s="20"/>
      <c r="B2" s="19" t="s">
        <v>102</v>
      </c>
      <c r="C2" s="19"/>
      <c r="D2" s="20"/>
      <c r="F2" s="154"/>
    </row>
    <row r="3" spans="1:7" ht="18.75" customHeight="1" x14ac:dyDescent="0.25">
      <c r="A3" s="1"/>
      <c r="B3" s="712" t="s">
        <v>13</v>
      </c>
      <c r="C3" s="712" t="s">
        <v>54</v>
      </c>
      <c r="D3" s="712" t="s">
        <v>55</v>
      </c>
      <c r="E3" s="712">
        <v>2018</v>
      </c>
      <c r="F3" s="712">
        <v>2017</v>
      </c>
    </row>
    <row r="4" spans="1:7" ht="18.75" customHeight="1" x14ac:dyDescent="0.25">
      <c r="A4" s="9"/>
      <c r="B4" s="42">
        <v>1</v>
      </c>
      <c r="C4" s="42"/>
      <c r="D4" s="43" t="s">
        <v>103</v>
      </c>
      <c r="E4" s="308">
        <v>72240231</v>
      </c>
      <c r="F4" s="308">
        <v>67611546</v>
      </c>
      <c r="G4" s="155"/>
    </row>
    <row r="5" spans="1:7" ht="18.75" customHeight="1" x14ac:dyDescent="0.25">
      <c r="A5" s="9"/>
      <c r="B5" s="42">
        <f>B4+1</f>
        <v>2</v>
      </c>
      <c r="C5" s="42"/>
      <c r="D5" s="43"/>
      <c r="E5" s="308"/>
      <c r="F5" s="308"/>
    </row>
    <row r="6" spans="1:7" ht="18.75" customHeight="1" x14ac:dyDescent="0.25">
      <c r="A6" s="9"/>
      <c r="B6" s="42">
        <f t="shared" ref="B6:B25" si="0">B5+1</f>
        <v>3</v>
      </c>
      <c r="C6" s="44"/>
      <c r="D6" s="43" t="s">
        <v>104</v>
      </c>
      <c r="E6" s="308" t="s">
        <v>12</v>
      </c>
      <c r="F6" s="308" t="s">
        <v>105</v>
      </c>
    </row>
    <row r="7" spans="1:7" ht="18.75" customHeight="1" x14ac:dyDescent="0.25">
      <c r="A7" s="9"/>
      <c r="B7" s="42">
        <f t="shared" si="0"/>
        <v>4</v>
      </c>
      <c r="C7" s="44">
        <v>403</v>
      </c>
      <c r="D7" s="45" t="s">
        <v>106</v>
      </c>
      <c r="E7" s="275">
        <v>7222503</v>
      </c>
      <c r="F7" s="275">
        <v>6949295</v>
      </c>
      <c r="G7" s="155"/>
    </row>
    <row r="8" spans="1:7" ht="18.75" customHeight="1" x14ac:dyDescent="0.25">
      <c r="A8" s="9"/>
      <c r="B8" s="42">
        <f t="shared" si="0"/>
        <v>5</v>
      </c>
      <c r="C8" s="44"/>
      <c r="D8" s="45"/>
      <c r="E8" s="510"/>
      <c r="F8" s="510"/>
    </row>
    <row r="9" spans="1:7" ht="18.75" customHeight="1" x14ac:dyDescent="0.25">
      <c r="A9" s="9"/>
      <c r="B9" s="42">
        <f t="shared" si="0"/>
        <v>6</v>
      </c>
      <c r="C9" s="44"/>
      <c r="D9" s="45" t="s">
        <v>107</v>
      </c>
      <c r="E9" s="308"/>
      <c r="F9" s="308"/>
    </row>
    <row r="10" spans="1:7" ht="18.75" customHeight="1" x14ac:dyDescent="0.25">
      <c r="B10" s="42">
        <f t="shared" si="0"/>
        <v>7</v>
      </c>
      <c r="C10" s="68"/>
      <c r="D10" s="68" t="s">
        <v>108</v>
      </c>
      <c r="E10" s="308" t="s">
        <v>109</v>
      </c>
      <c r="F10" s="308">
        <v>5330</v>
      </c>
      <c r="G10" s="155"/>
    </row>
    <row r="11" spans="1:7" ht="18.75" customHeight="1" x14ac:dyDescent="0.25">
      <c r="B11" s="42">
        <f t="shared" si="0"/>
        <v>8</v>
      </c>
      <c r="C11" s="68"/>
      <c r="D11" s="68" t="s">
        <v>110</v>
      </c>
      <c r="E11" s="308">
        <v>47007</v>
      </c>
      <c r="F11" s="308">
        <v>30042</v>
      </c>
      <c r="G11" s="155"/>
    </row>
    <row r="12" spans="1:7" ht="18.75" customHeight="1" x14ac:dyDescent="0.25">
      <c r="B12" s="42">
        <f t="shared" si="0"/>
        <v>9</v>
      </c>
      <c r="C12" s="68"/>
      <c r="D12" s="68" t="s">
        <v>111</v>
      </c>
      <c r="E12" s="308">
        <v>851159</v>
      </c>
      <c r="F12" s="308">
        <v>1301322</v>
      </c>
      <c r="G12" s="155"/>
    </row>
    <row r="13" spans="1:7" ht="18.75" customHeight="1" x14ac:dyDescent="0.25">
      <c r="B13" s="42">
        <f t="shared" si="0"/>
        <v>10</v>
      </c>
      <c r="C13" s="68"/>
      <c r="D13" s="68" t="s">
        <v>112</v>
      </c>
      <c r="E13" s="308">
        <v>63265</v>
      </c>
      <c r="F13" s="308">
        <v>9906</v>
      </c>
      <c r="G13" s="155"/>
    </row>
    <row r="14" spans="1:7" ht="18.75" customHeight="1" x14ac:dyDescent="0.25">
      <c r="B14" s="42">
        <f t="shared" si="0"/>
        <v>11</v>
      </c>
      <c r="C14" s="68"/>
      <c r="D14" s="68" t="s">
        <v>113</v>
      </c>
      <c r="E14" s="275">
        <f>SUM(E10:E13)</f>
        <v>961431</v>
      </c>
      <c r="F14" s="275">
        <v>1346600</v>
      </c>
      <c r="G14" s="155"/>
    </row>
    <row r="15" spans="1:7" ht="18.75" customHeight="1" x14ac:dyDescent="0.25">
      <c r="B15" s="42">
        <f t="shared" si="0"/>
        <v>12</v>
      </c>
      <c r="C15" s="68"/>
      <c r="D15" s="68"/>
      <c r="E15" s="510"/>
      <c r="F15" s="510"/>
    </row>
    <row r="16" spans="1:7" ht="18.75" customHeight="1" x14ac:dyDescent="0.25">
      <c r="B16" s="42">
        <f t="shared" si="0"/>
        <v>13</v>
      </c>
      <c r="C16" s="68"/>
      <c r="D16" s="68" t="s">
        <v>114</v>
      </c>
      <c r="E16" s="275">
        <f>E7+E14</f>
        <v>8183934</v>
      </c>
      <c r="F16" s="275">
        <v>8295895</v>
      </c>
      <c r="G16" s="155"/>
    </row>
    <row r="17" spans="2:7" ht="18.75" customHeight="1" x14ac:dyDescent="0.25">
      <c r="B17" s="42">
        <f t="shared" si="0"/>
        <v>14</v>
      </c>
      <c r="C17" s="68"/>
      <c r="D17" s="68"/>
      <c r="E17" s="510"/>
      <c r="F17" s="510"/>
    </row>
    <row r="18" spans="2:7" ht="18.75" customHeight="1" x14ac:dyDescent="0.25">
      <c r="B18" s="42">
        <f t="shared" si="0"/>
        <v>15</v>
      </c>
      <c r="C18" s="68"/>
      <c r="D18" s="68" t="s">
        <v>115</v>
      </c>
      <c r="E18" s="308" t="s">
        <v>12</v>
      </c>
      <c r="F18" s="308" t="s">
        <v>105</v>
      </c>
    </row>
    <row r="19" spans="2:7" ht="18.75" customHeight="1" x14ac:dyDescent="0.25">
      <c r="B19" s="42">
        <f t="shared" si="0"/>
        <v>16</v>
      </c>
      <c r="C19" s="68"/>
      <c r="D19" s="68" t="s">
        <v>116</v>
      </c>
      <c r="E19" s="308">
        <v>1526945</v>
      </c>
      <c r="F19" s="308">
        <v>1556205</v>
      </c>
      <c r="G19" s="155"/>
    </row>
    <row r="20" spans="2:7" ht="18.75" customHeight="1" x14ac:dyDescent="0.25">
      <c r="B20" s="42">
        <f t="shared" si="0"/>
        <v>17</v>
      </c>
      <c r="C20" s="68"/>
      <c r="D20" s="68" t="s">
        <v>117</v>
      </c>
      <c r="E20" s="308">
        <v>1976807</v>
      </c>
      <c r="F20" s="308">
        <v>2109053</v>
      </c>
      <c r="G20" s="155"/>
    </row>
    <row r="21" spans="2:7" ht="18.75" customHeight="1" x14ac:dyDescent="0.25">
      <c r="B21" s="42">
        <f t="shared" si="0"/>
        <v>18</v>
      </c>
      <c r="C21" s="68"/>
      <c r="D21" s="68" t="s">
        <v>118</v>
      </c>
      <c r="E21" s="308" t="s">
        <v>109</v>
      </c>
      <c r="F21" s="308"/>
    </row>
    <row r="22" spans="2:7" ht="18.75" customHeight="1" x14ac:dyDescent="0.25">
      <c r="B22" s="42">
        <f t="shared" si="0"/>
        <v>19</v>
      </c>
      <c r="C22" s="68"/>
      <c r="D22" s="68" t="s">
        <v>119</v>
      </c>
      <c r="E22" s="308" t="s">
        <v>109</v>
      </c>
      <c r="F22" s="308">
        <v>1952</v>
      </c>
      <c r="G22" s="155"/>
    </row>
    <row r="23" spans="2:7" ht="18.75" customHeight="1" x14ac:dyDescent="0.25">
      <c r="B23" s="42">
        <f t="shared" si="0"/>
        <v>20</v>
      </c>
      <c r="C23" s="68"/>
      <c r="D23" s="68" t="s">
        <v>120</v>
      </c>
      <c r="E23" s="275">
        <f>SUM(E19:E22)</f>
        <v>3503752</v>
      </c>
      <c r="F23" s="275">
        <v>3667210</v>
      </c>
      <c r="G23" s="155"/>
    </row>
    <row r="24" spans="2:7" ht="18.75" customHeight="1" x14ac:dyDescent="0.25">
      <c r="B24" s="42">
        <f t="shared" si="0"/>
        <v>21</v>
      </c>
      <c r="C24" s="68"/>
      <c r="D24" s="68"/>
      <c r="E24" s="510"/>
      <c r="F24" s="510"/>
    </row>
    <row r="25" spans="2:7" ht="18.75" customHeight="1" x14ac:dyDescent="0.25">
      <c r="B25" s="42">
        <f t="shared" si="0"/>
        <v>22</v>
      </c>
      <c r="C25" s="68"/>
      <c r="D25" s="68" t="s">
        <v>121</v>
      </c>
      <c r="E25" s="275">
        <f>E4+E16-E23</f>
        <v>76920413</v>
      </c>
      <c r="F25" s="275">
        <v>72240231</v>
      </c>
      <c r="G25" s="155"/>
    </row>
    <row r="26" spans="2:7" ht="18.75" customHeight="1" x14ac:dyDescent="0.25"/>
    <row r="27" spans="2:7" ht="18.75" customHeight="1" x14ac:dyDescent="0.25">
      <c r="B27" s="100" t="s">
        <v>122</v>
      </c>
    </row>
    <row r="28" spans="2:7" ht="18.75" customHeight="1" x14ac:dyDescent="0.25"/>
    <row r="29" spans="2:7" ht="18.75" customHeight="1" x14ac:dyDescent="0.25"/>
    <row r="30" spans="2:7" ht="18.75" customHeight="1" x14ac:dyDescent="0.25"/>
    <row r="31" spans="2:7" ht="18.75" customHeight="1" x14ac:dyDescent="0.25"/>
    <row r="32" spans="2:7" ht="18.75" customHeight="1" x14ac:dyDescent="0.25"/>
    <row r="33" ht="18.75" customHeight="1" x14ac:dyDescent="0.25"/>
    <row r="34" ht="18.75" customHeight="1" x14ac:dyDescent="0.25"/>
    <row r="35" ht="18.75" customHeight="1" x14ac:dyDescent="0.25"/>
    <row r="36" ht="18.75" customHeight="1" x14ac:dyDescent="0.25"/>
    <row r="37" ht="18.75" customHeight="1" x14ac:dyDescent="0.25"/>
    <row r="38" ht="18.75" customHeight="1" x14ac:dyDescent="0.25"/>
    <row r="39" ht="18.75" customHeight="1" x14ac:dyDescent="0.25"/>
    <row r="40" ht="18.75" customHeight="1" x14ac:dyDescent="0.25"/>
    <row r="41" ht="18.75" customHeight="1" x14ac:dyDescent="0.25"/>
    <row r="42" ht="18.75" customHeight="1" x14ac:dyDescent="0.25"/>
    <row r="43" ht="18.75" customHeight="1" x14ac:dyDescent="0.25"/>
    <row r="44" ht="18.75" customHeight="1" x14ac:dyDescent="0.25"/>
    <row r="45" ht="18.75" customHeight="1" x14ac:dyDescent="0.25"/>
    <row r="46" ht="18.75" customHeight="1" x14ac:dyDescent="0.25"/>
    <row r="47" ht="18.75" customHeight="1" x14ac:dyDescent="0.25"/>
    <row r="48" ht="18.75" customHeight="1" x14ac:dyDescent="0.25"/>
    <row r="49" ht="18.75" customHeight="1" x14ac:dyDescent="0.25"/>
    <row r="50" ht="18.75" customHeight="1" x14ac:dyDescent="0.25"/>
    <row r="51" ht="18.75" customHeight="1" x14ac:dyDescent="0.25"/>
    <row r="52" ht="18.75" customHeight="1" x14ac:dyDescent="0.25"/>
    <row r="53" ht="18.75" customHeight="1" x14ac:dyDescent="0.25"/>
    <row r="54" ht="18.75" customHeight="1" x14ac:dyDescent="0.25"/>
    <row r="55" ht="18.75" customHeight="1" x14ac:dyDescent="0.25"/>
    <row r="56" ht="18.75" customHeight="1" x14ac:dyDescent="0.25"/>
    <row r="57" ht="18.75" customHeight="1" x14ac:dyDescent="0.25"/>
    <row r="58" ht="18.75" customHeight="1" x14ac:dyDescent="0.25"/>
    <row r="59" ht="18.75" customHeight="1" x14ac:dyDescent="0.25"/>
    <row r="60" ht="18.75" customHeight="1" x14ac:dyDescent="0.25"/>
    <row r="61" ht="18.75" customHeight="1" x14ac:dyDescent="0.25"/>
    <row r="62" ht="18.75" customHeight="1" x14ac:dyDescent="0.25"/>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9"/>
  <sheetViews>
    <sheetView showGridLines="0" workbookViewId="0">
      <selection activeCell="J6" sqref="J6"/>
    </sheetView>
  </sheetViews>
  <sheetFormatPr defaultColWidth="9.140625" defaultRowHeight="15" x14ac:dyDescent="0.25"/>
  <cols>
    <col min="1" max="1" width="2.7109375" style="100" customWidth="1"/>
    <col min="2" max="2" width="6.7109375" style="100" customWidth="1"/>
    <col min="3" max="3" width="37.85546875" style="100" customWidth="1"/>
    <col min="4" max="6" width="14.7109375" style="100" customWidth="1"/>
    <col min="7" max="7" width="14.7109375" style="159" customWidth="1"/>
    <col min="8" max="16384" width="9.140625" style="100"/>
  </cols>
  <sheetData>
    <row r="1" spans="1:9" s="9" customFormat="1" ht="9.75" customHeight="1" x14ac:dyDescent="0.25">
      <c r="B1" s="80"/>
    </row>
    <row r="2" spans="1:9" ht="37.5" customHeight="1" x14ac:dyDescent="0.25">
      <c r="A2" s="20"/>
      <c r="B2" s="50" t="s">
        <v>123</v>
      </c>
      <c r="C2" s="50"/>
      <c r="D2" s="59"/>
      <c r="E2" s="59"/>
      <c r="F2" s="59"/>
      <c r="G2" s="107"/>
    </row>
    <row r="3" spans="1:9" ht="37.5" customHeight="1" x14ac:dyDescent="0.25">
      <c r="A3" s="1"/>
      <c r="B3" s="712" t="s">
        <v>13</v>
      </c>
      <c r="C3" s="712" t="s">
        <v>55</v>
      </c>
      <c r="D3" s="258" t="s">
        <v>124</v>
      </c>
      <c r="E3" s="258" t="s">
        <v>125</v>
      </c>
      <c r="F3" s="258" t="s">
        <v>126</v>
      </c>
      <c r="G3" s="258" t="s">
        <v>127</v>
      </c>
    </row>
    <row r="4" spans="1:9" ht="18.75" customHeight="1" x14ac:dyDescent="0.25">
      <c r="A4" s="9"/>
      <c r="B4" s="42">
        <v>1</v>
      </c>
      <c r="C4" s="54" t="s">
        <v>128</v>
      </c>
      <c r="D4" s="273">
        <v>190679</v>
      </c>
      <c r="E4" s="273">
        <v>182927</v>
      </c>
      <c r="F4" s="273">
        <v>176068</v>
      </c>
      <c r="G4" s="118" t="s">
        <v>129</v>
      </c>
    </row>
    <row r="5" spans="1:9" ht="18.75" customHeight="1" x14ac:dyDescent="0.25">
      <c r="A5" s="9"/>
      <c r="B5" s="42">
        <f>B4+1</f>
        <v>2</v>
      </c>
      <c r="C5" s="54" t="s">
        <v>130</v>
      </c>
      <c r="D5" s="273">
        <v>74178</v>
      </c>
      <c r="E5" s="273">
        <v>71183</v>
      </c>
      <c r="F5" s="273">
        <v>68510</v>
      </c>
      <c r="G5" s="118" t="s">
        <v>131</v>
      </c>
    </row>
    <row r="6" spans="1:9" ht="18.75" customHeight="1" x14ac:dyDescent="0.25">
      <c r="A6" s="9"/>
      <c r="B6" s="42">
        <f t="shared" ref="B6:B14" si="0">B5+1</f>
        <v>3</v>
      </c>
      <c r="C6" s="55" t="s">
        <v>132</v>
      </c>
      <c r="D6" s="274">
        <v>61868</v>
      </c>
      <c r="E6" s="274">
        <v>53610</v>
      </c>
      <c r="F6" s="274">
        <v>46494</v>
      </c>
      <c r="G6" s="118" t="s">
        <v>133</v>
      </c>
    </row>
    <row r="7" spans="1:9" ht="18.75" customHeight="1" x14ac:dyDescent="0.25">
      <c r="A7" s="9"/>
      <c r="B7" s="42">
        <f t="shared" si="0"/>
        <v>4</v>
      </c>
      <c r="C7" s="55" t="s">
        <v>134</v>
      </c>
      <c r="D7" s="274">
        <v>32575</v>
      </c>
      <c r="E7" s="274">
        <v>29814</v>
      </c>
      <c r="F7" s="274">
        <v>29459</v>
      </c>
      <c r="G7" s="118" t="s">
        <v>135</v>
      </c>
    </row>
    <row r="8" spans="1:9" ht="18.75" customHeight="1" x14ac:dyDescent="0.25">
      <c r="A8" s="9"/>
      <c r="B8" s="42">
        <f t="shared" si="0"/>
        <v>5</v>
      </c>
      <c r="C8" s="55" t="s">
        <v>136</v>
      </c>
      <c r="D8" s="308">
        <v>13531</v>
      </c>
      <c r="E8" s="308">
        <v>12787</v>
      </c>
      <c r="F8" s="308">
        <v>12360</v>
      </c>
      <c r="G8" s="44" t="s">
        <v>137</v>
      </c>
    </row>
    <row r="9" spans="1:9" ht="18.75" customHeight="1" x14ac:dyDescent="0.25">
      <c r="A9" s="9"/>
      <c r="B9" s="42">
        <f t="shared" si="0"/>
        <v>6</v>
      </c>
      <c r="C9" s="55" t="s">
        <v>138</v>
      </c>
      <c r="D9" s="511">
        <v>3202</v>
      </c>
      <c r="E9" s="511">
        <v>3196</v>
      </c>
      <c r="F9" s="511">
        <v>3172</v>
      </c>
      <c r="G9" s="512" t="s">
        <v>139</v>
      </c>
    </row>
    <row r="10" spans="1:9" ht="18.75" customHeight="1" x14ac:dyDescent="0.25">
      <c r="A10" s="9"/>
      <c r="B10" s="42">
        <f t="shared" si="0"/>
        <v>7</v>
      </c>
      <c r="C10" s="55" t="s">
        <v>140</v>
      </c>
      <c r="D10" s="275">
        <f>SUM(D4:D9)</f>
        <v>376033</v>
      </c>
      <c r="E10" s="275">
        <f>SUM(E3:E9)</f>
        <v>353517</v>
      </c>
      <c r="F10" s="275">
        <f>SUM(F3:F9)</f>
        <v>336063</v>
      </c>
      <c r="G10" s="513"/>
    </row>
    <row r="11" spans="1:9" ht="18.75" customHeight="1" x14ac:dyDescent="0.25">
      <c r="A11" s="9"/>
      <c r="B11" s="42">
        <f t="shared" si="0"/>
        <v>8</v>
      </c>
      <c r="C11" s="55"/>
      <c r="D11" s="300"/>
      <c r="E11" s="300"/>
      <c r="F11" s="300"/>
      <c r="G11" s="514"/>
    </row>
    <row r="12" spans="1:9" ht="18.75" customHeight="1" x14ac:dyDescent="0.25">
      <c r="A12" s="9"/>
      <c r="B12" s="42">
        <f t="shared" si="0"/>
        <v>9</v>
      </c>
      <c r="C12" s="55" t="s">
        <v>141</v>
      </c>
      <c r="D12" s="276">
        <v>4751</v>
      </c>
      <c r="E12" s="276">
        <v>12250</v>
      </c>
      <c r="F12" s="276">
        <v>7349</v>
      </c>
      <c r="G12" s="515"/>
      <c r="I12" s="100" t="s">
        <v>12</v>
      </c>
    </row>
    <row r="13" spans="1:9" ht="18.75" customHeight="1" x14ac:dyDescent="0.25">
      <c r="A13" s="9"/>
      <c r="B13" s="42">
        <f t="shared" si="0"/>
        <v>10</v>
      </c>
      <c r="C13" s="55"/>
      <c r="D13" s="302"/>
      <c r="E13" s="302"/>
      <c r="F13" s="302"/>
      <c r="G13" s="516"/>
    </row>
    <row r="14" spans="1:9" ht="18.75" customHeight="1" x14ac:dyDescent="0.25">
      <c r="B14" s="42">
        <f t="shared" si="0"/>
        <v>11</v>
      </c>
      <c r="C14" s="55" t="s">
        <v>142</v>
      </c>
      <c r="D14" s="277">
        <f>D10+D12</f>
        <v>380784</v>
      </c>
      <c r="E14" s="277">
        <f>E10+E12</f>
        <v>365767</v>
      </c>
      <c r="F14" s="277">
        <f>F10+F12</f>
        <v>343412</v>
      </c>
      <c r="G14" s="513"/>
    </row>
    <row r="15" spans="1:9" ht="18.75" customHeight="1" x14ac:dyDescent="0.25">
      <c r="H15" s="100" t="s">
        <v>12</v>
      </c>
    </row>
    <row r="16" spans="1:9" ht="18.75" customHeight="1" x14ac:dyDescent="0.25">
      <c r="B16" s="100" t="s">
        <v>143</v>
      </c>
      <c r="H16" s="100" t="s">
        <v>12</v>
      </c>
    </row>
    <row r="17" spans="2:2" ht="18.75" customHeight="1" x14ac:dyDescent="0.25">
      <c r="B17" s="100" t="s">
        <v>144</v>
      </c>
    </row>
    <row r="18" spans="2:2" ht="18.75" customHeight="1" x14ac:dyDescent="0.25">
      <c r="B18" s="100" t="s">
        <v>145</v>
      </c>
    </row>
    <row r="19" spans="2:2" ht="18.75" customHeight="1" x14ac:dyDescent="0.25">
      <c r="B19" s="100" t="s">
        <v>146</v>
      </c>
    </row>
    <row r="20" spans="2:2" ht="18.75" customHeight="1" x14ac:dyDescent="0.25">
      <c r="B20" s="65" t="s">
        <v>8</v>
      </c>
    </row>
    <row r="21" spans="2:2" ht="18.75" customHeight="1" x14ac:dyDescent="0.25">
      <c r="B21" s="65"/>
    </row>
    <row r="22" spans="2:2" ht="18.75" customHeight="1" x14ac:dyDescent="0.25"/>
    <row r="23" spans="2:2" ht="18.75" customHeight="1" x14ac:dyDescent="0.25"/>
    <row r="24" spans="2:2" ht="18.75" customHeight="1" x14ac:dyDescent="0.25"/>
    <row r="25" spans="2:2" ht="18.75" customHeight="1" x14ac:dyDescent="0.25"/>
    <row r="26" spans="2:2" ht="18.75" customHeight="1" x14ac:dyDescent="0.25"/>
    <row r="27" spans="2:2" ht="18.75" customHeight="1" x14ac:dyDescent="0.25"/>
    <row r="28" spans="2:2" ht="18.75" customHeight="1" x14ac:dyDescent="0.25"/>
    <row r="29" spans="2:2" ht="18.75" customHeight="1" x14ac:dyDescent="0.25"/>
    <row r="30" spans="2:2" ht="18.75" customHeight="1" x14ac:dyDescent="0.25"/>
    <row r="31" spans="2:2" ht="18.75" customHeight="1" x14ac:dyDescent="0.25"/>
    <row r="32" spans="2:2" ht="18.75" customHeight="1" x14ac:dyDescent="0.25"/>
    <row r="33" ht="18.75" customHeight="1" x14ac:dyDescent="0.25"/>
    <row r="34" ht="18.75" customHeight="1" x14ac:dyDescent="0.25"/>
    <row r="35" ht="18.75" customHeight="1" x14ac:dyDescent="0.25"/>
    <row r="36" ht="18.75" customHeight="1" x14ac:dyDescent="0.25"/>
    <row r="37" ht="18.75" customHeight="1" x14ac:dyDescent="0.25"/>
    <row r="38" ht="18.75" customHeight="1" x14ac:dyDescent="0.25"/>
    <row r="39" ht="18.75" customHeight="1" x14ac:dyDescent="0.25"/>
  </sheetData>
  <hyperlinks>
    <hyperlink ref="B20" r:id="rId1" xr:uid="{F7BBB6E4-F1BC-4CE5-B82E-A2CC40341DE7}"/>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H47"/>
  <sheetViews>
    <sheetView showGridLines="0" workbookViewId="0">
      <selection activeCell="J6" sqref="J6"/>
    </sheetView>
  </sheetViews>
  <sheetFormatPr defaultColWidth="10.85546875" defaultRowHeight="12.75" x14ac:dyDescent="0.25"/>
  <cols>
    <col min="1" max="1" width="2.7109375" style="1" customWidth="1"/>
    <col min="2" max="2" width="6.7109375" style="2" customWidth="1"/>
    <col min="3" max="3" width="7.140625" style="2" customWidth="1"/>
    <col min="4" max="4" width="53.140625" style="39" customWidth="1"/>
    <col min="5" max="5" width="14.7109375" style="1" customWidth="1"/>
    <col min="6" max="6" width="14.7109375" style="10" customWidth="1"/>
    <col min="7" max="7" width="14.7109375" style="47" customWidth="1"/>
    <col min="8" max="8" width="10.85546875" style="1" customWidth="1"/>
    <col min="9" max="33" width="9.140625" style="1"/>
    <col min="34" max="56" width="10.85546875" style="1" customWidth="1"/>
    <col min="57" max="16384" width="10.85546875" style="1"/>
  </cols>
  <sheetData>
    <row r="1" spans="2:8" s="9" customFormat="1" ht="9.75" customHeight="1" x14ac:dyDescent="0.25">
      <c r="B1" s="80"/>
    </row>
    <row r="2" spans="2:8" s="8" customFormat="1" ht="29.1" customHeight="1" x14ac:dyDescent="0.25">
      <c r="B2" s="37" t="s">
        <v>147</v>
      </c>
      <c r="C2" s="16"/>
      <c r="D2" s="46"/>
      <c r="F2" s="35"/>
      <c r="G2" s="48"/>
    </row>
    <row r="3" spans="2:8" ht="37.5" customHeight="1" x14ac:dyDescent="0.25">
      <c r="B3" s="256" t="s">
        <v>13</v>
      </c>
      <c r="C3" s="257" t="s">
        <v>54</v>
      </c>
      <c r="D3" s="256" t="s">
        <v>55</v>
      </c>
      <c r="E3" s="259" t="s">
        <v>148</v>
      </c>
      <c r="F3" s="260" t="s">
        <v>149</v>
      </c>
      <c r="G3" s="260" t="s">
        <v>150</v>
      </c>
    </row>
    <row r="4" spans="2:8" ht="18.75" customHeight="1" x14ac:dyDescent="0.25">
      <c r="B4" s="18">
        <v>1</v>
      </c>
      <c r="C4" s="157" t="s">
        <v>151</v>
      </c>
      <c r="D4" s="161" t="s">
        <v>152</v>
      </c>
      <c r="E4" s="266">
        <v>747562</v>
      </c>
      <c r="F4" s="270">
        <v>1132227</v>
      </c>
      <c r="G4" s="162" t="s">
        <v>153</v>
      </c>
    </row>
    <row r="5" spans="2:8" ht="18.75" customHeight="1" x14ac:dyDescent="0.25">
      <c r="B5" s="18">
        <f t="shared" ref="B5:B27" si="0">B4+1</f>
        <v>2</v>
      </c>
      <c r="C5" s="157" t="s">
        <v>154</v>
      </c>
      <c r="D5" s="163" t="s">
        <v>155</v>
      </c>
      <c r="E5" s="276">
        <v>4192</v>
      </c>
      <c r="F5" s="282">
        <v>4192</v>
      </c>
      <c r="G5" s="164" t="s">
        <v>156</v>
      </c>
    </row>
    <row r="6" spans="2:8" ht="18.75" customHeight="1" x14ac:dyDescent="0.25">
      <c r="B6" s="18">
        <f t="shared" si="0"/>
        <v>3</v>
      </c>
      <c r="C6" s="157" t="s">
        <v>157</v>
      </c>
      <c r="D6" s="163" t="s">
        <v>74</v>
      </c>
      <c r="E6" s="276">
        <v>141206</v>
      </c>
      <c r="F6" s="282">
        <v>634116</v>
      </c>
      <c r="G6" s="164" t="s">
        <v>153</v>
      </c>
    </row>
    <row r="7" spans="2:8" ht="18.75" customHeight="1" x14ac:dyDescent="0.25">
      <c r="B7" s="18">
        <f t="shared" si="0"/>
        <v>4</v>
      </c>
      <c r="C7" s="157" t="s">
        <v>158</v>
      </c>
      <c r="D7" s="161" t="s">
        <v>159</v>
      </c>
      <c r="E7" s="268">
        <v>169882</v>
      </c>
      <c r="F7" s="283">
        <v>490150</v>
      </c>
      <c r="G7" s="165" t="s">
        <v>160</v>
      </c>
      <c r="H7" s="1" t="s">
        <v>12</v>
      </c>
    </row>
    <row r="8" spans="2:8" ht="18.75" customHeight="1" x14ac:dyDescent="0.25">
      <c r="B8" s="18">
        <f t="shared" si="0"/>
        <v>5</v>
      </c>
      <c r="C8" s="157" t="s">
        <v>161</v>
      </c>
      <c r="D8" s="161" t="s">
        <v>82</v>
      </c>
      <c r="E8" s="266">
        <v>7742</v>
      </c>
      <c r="F8" s="270">
        <v>30000</v>
      </c>
      <c r="G8" s="162" t="s">
        <v>156</v>
      </c>
    </row>
    <row r="9" spans="2:8" ht="18.75" customHeight="1" x14ac:dyDescent="0.25">
      <c r="B9" s="18">
        <f t="shared" si="0"/>
        <v>6</v>
      </c>
      <c r="C9" s="157" t="s">
        <v>162</v>
      </c>
      <c r="D9" s="161" t="s">
        <v>163</v>
      </c>
      <c r="E9" s="266">
        <v>2200304</v>
      </c>
      <c r="F9" s="270">
        <v>6859000</v>
      </c>
      <c r="G9" s="162" t="s">
        <v>160</v>
      </c>
    </row>
    <row r="10" spans="2:8" ht="18.75" customHeight="1" x14ac:dyDescent="0.25">
      <c r="B10" s="18">
        <f t="shared" si="0"/>
        <v>7</v>
      </c>
      <c r="C10" s="157" t="s">
        <v>164</v>
      </c>
      <c r="D10" s="161" t="s">
        <v>84</v>
      </c>
      <c r="E10" s="266">
        <v>341431</v>
      </c>
      <c r="F10" s="270">
        <v>1638000</v>
      </c>
      <c r="G10" s="162" t="s">
        <v>165</v>
      </c>
    </row>
    <row r="11" spans="2:8" ht="18.75" customHeight="1" x14ac:dyDescent="0.25">
      <c r="B11" s="18">
        <f t="shared" si="0"/>
        <v>8</v>
      </c>
      <c r="C11" s="157" t="s">
        <v>166</v>
      </c>
      <c r="D11" s="161" t="s">
        <v>167</v>
      </c>
      <c r="E11" s="266">
        <v>47516</v>
      </c>
      <c r="F11" s="270">
        <v>657333</v>
      </c>
      <c r="G11" s="162" t="s">
        <v>160</v>
      </c>
    </row>
    <row r="12" spans="2:8" ht="18.75" customHeight="1" x14ac:dyDescent="0.25">
      <c r="B12" s="18">
        <f t="shared" si="0"/>
        <v>9</v>
      </c>
      <c r="C12" s="157" t="s">
        <v>168</v>
      </c>
      <c r="D12" s="161" t="s">
        <v>169</v>
      </c>
      <c r="E12" s="266">
        <v>95063</v>
      </c>
      <c r="F12" s="270">
        <v>345000</v>
      </c>
      <c r="G12" s="162" t="s">
        <v>160</v>
      </c>
    </row>
    <row r="13" spans="2:8" ht="18.75" customHeight="1" x14ac:dyDescent="0.25">
      <c r="B13" s="18">
        <f t="shared" si="0"/>
        <v>10</v>
      </c>
      <c r="C13" s="157" t="s">
        <v>170</v>
      </c>
      <c r="D13" s="161" t="s">
        <v>171</v>
      </c>
      <c r="E13" s="266">
        <v>11872</v>
      </c>
      <c r="F13" s="270">
        <v>244000</v>
      </c>
      <c r="G13" s="162" t="s">
        <v>160</v>
      </c>
    </row>
    <row r="14" spans="2:8" ht="18.75" customHeight="1" x14ac:dyDescent="0.25">
      <c r="B14" s="18">
        <f t="shared" si="0"/>
        <v>11</v>
      </c>
      <c r="C14" s="157" t="s">
        <v>172</v>
      </c>
      <c r="D14" s="161" t="s">
        <v>91</v>
      </c>
      <c r="E14" s="266">
        <v>87252</v>
      </c>
      <c r="F14" s="270">
        <v>87773</v>
      </c>
      <c r="G14" s="162" t="s">
        <v>173</v>
      </c>
    </row>
    <row r="15" spans="2:8" ht="18.75" customHeight="1" x14ac:dyDescent="0.25">
      <c r="B15" s="18">
        <f t="shared" si="0"/>
        <v>12</v>
      </c>
      <c r="C15" s="157" t="s">
        <v>174</v>
      </c>
      <c r="D15" s="161" t="s">
        <v>175</v>
      </c>
      <c r="E15" s="266">
        <v>24681</v>
      </c>
      <c r="F15" s="270">
        <v>45000</v>
      </c>
      <c r="G15" s="162" t="s">
        <v>156</v>
      </c>
    </row>
    <row r="16" spans="2:8" ht="18.75" customHeight="1" x14ac:dyDescent="0.25">
      <c r="B16" s="18">
        <f t="shared" si="0"/>
        <v>13</v>
      </c>
      <c r="C16" s="157" t="s">
        <v>176</v>
      </c>
      <c r="D16" s="161" t="s">
        <v>97</v>
      </c>
      <c r="E16" s="266">
        <v>11636</v>
      </c>
      <c r="F16" s="266">
        <v>20000</v>
      </c>
      <c r="G16" s="166" t="s">
        <v>156</v>
      </c>
    </row>
    <row r="17" spans="2:7" ht="18.75" customHeight="1" x14ac:dyDescent="0.25">
      <c r="B17" s="18">
        <f t="shared" si="0"/>
        <v>14</v>
      </c>
      <c r="C17" s="157"/>
      <c r="D17" s="161"/>
      <c r="E17" s="266"/>
      <c r="F17" s="266"/>
      <c r="G17" s="166"/>
    </row>
    <row r="18" spans="2:7" ht="18.75" customHeight="1" x14ac:dyDescent="0.25">
      <c r="B18" s="18">
        <f t="shared" si="0"/>
        <v>15</v>
      </c>
      <c r="C18" s="157" t="s">
        <v>177</v>
      </c>
      <c r="D18" s="161" t="s">
        <v>178</v>
      </c>
      <c r="E18" s="266">
        <v>389219</v>
      </c>
      <c r="F18" s="266">
        <v>5000000</v>
      </c>
      <c r="G18" s="166" t="s">
        <v>179</v>
      </c>
    </row>
    <row r="19" spans="2:7" ht="18.75" customHeight="1" x14ac:dyDescent="0.25">
      <c r="B19" s="18">
        <f t="shared" si="0"/>
        <v>16</v>
      </c>
      <c r="C19" s="157" t="s">
        <v>177</v>
      </c>
      <c r="D19" s="161" t="s">
        <v>180</v>
      </c>
      <c r="E19" s="266">
        <v>21257</v>
      </c>
      <c r="F19" s="266">
        <v>2000000</v>
      </c>
      <c r="G19" s="166" t="s">
        <v>181</v>
      </c>
    </row>
    <row r="20" spans="2:7" ht="18.75" customHeight="1" x14ac:dyDescent="0.25">
      <c r="B20" s="18">
        <f t="shared" si="0"/>
        <v>17</v>
      </c>
      <c r="C20" s="157"/>
      <c r="D20" s="161"/>
      <c r="E20" s="284"/>
      <c r="F20" s="284"/>
      <c r="G20" s="167"/>
    </row>
    <row r="21" spans="2:7" ht="18.75" customHeight="1" x14ac:dyDescent="0.25">
      <c r="B21" s="18">
        <f t="shared" si="0"/>
        <v>18</v>
      </c>
      <c r="C21" s="157" t="s">
        <v>157</v>
      </c>
      <c r="D21" s="161" t="s">
        <v>182</v>
      </c>
      <c r="E21" s="285">
        <v>68267</v>
      </c>
      <c r="F21" s="285">
        <v>3000000</v>
      </c>
      <c r="G21" s="169" t="s">
        <v>153</v>
      </c>
    </row>
    <row r="22" spans="2:7" ht="18.75" customHeight="1" x14ac:dyDescent="0.25">
      <c r="B22" s="18">
        <f t="shared" si="0"/>
        <v>19</v>
      </c>
      <c r="C22" s="157"/>
      <c r="D22" s="161"/>
      <c r="E22" s="285"/>
      <c r="F22" s="285"/>
      <c r="G22" s="169"/>
    </row>
    <row r="23" spans="2:7" ht="18.75" customHeight="1" x14ac:dyDescent="0.25">
      <c r="B23" s="18">
        <f t="shared" si="0"/>
        <v>20</v>
      </c>
      <c r="C23" s="157" t="s">
        <v>161</v>
      </c>
      <c r="D23" s="161" t="s">
        <v>183</v>
      </c>
      <c r="E23" s="285">
        <v>4320</v>
      </c>
      <c r="F23" s="285">
        <v>900000</v>
      </c>
      <c r="G23" s="169" t="s">
        <v>181</v>
      </c>
    </row>
    <row r="24" spans="2:7" ht="18.75" customHeight="1" x14ac:dyDescent="0.25">
      <c r="B24" s="18">
        <f t="shared" si="0"/>
        <v>21</v>
      </c>
      <c r="C24" s="157"/>
      <c r="D24" s="161"/>
      <c r="E24" s="285"/>
      <c r="F24" s="285"/>
      <c r="G24" s="168"/>
    </row>
    <row r="25" spans="2:7" ht="18.75" customHeight="1" x14ac:dyDescent="0.25">
      <c r="B25" s="18">
        <f t="shared" si="0"/>
        <v>22</v>
      </c>
      <c r="C25" s="157"/>
      <c r="D25" s="170" t="s">
        <v>184</v>
      </c>
      <c r="E25" s="285">
        <v>239162</v>
      </c>
      <c r="F25" s="285"/>
      <c r="G25" s="168"/>
    </row>
    <row r="26" spans="2:7" ht="18.75" customHeight="1" x14ac:dyDescent="0.25">
      <c r="B26" s="18">
        <f t="shared" si="0"/>
        <v>23</v>
      </c>
      <c r="C26" s="157"/>
      <c r="D26" s="161"/>
      <c r="E26" s="284"/>
      <c r="F26" s="284"/>
      <c r="G26" s="169"/>
    </row>
    <row r="27" spans="2:7" ht="18.75" customHeight="1" x14ac:dyDescent="0.25">
      <c r="B27" s="18">
        <f t="shared" si="0"/>
        <v>24</v>
      </c>
      <c r="C27" s="157"/>
      <c r="D27" s="161" t="s">
        <v>185</v>
      </c>
      <c r="E27" s="285">
        <f>SUM(E4:E25)</f>
        <v>4612564</v>
      </c>
      <c r="F27" s="285">
        <f>SUM(F4:F25)</f>
        <v>23086791</v>
      </c>
      <c r="G27" s="515"/>
    </row>
    <row r="28" spans="2:7" ht="18.75" customHeight="1" x14ac:dyDescent="0.25"/>
    <row r="29" spans="2:7" ht="18.75" customHeight="1" x14ac:dyDescent="0.25">
      <c r="B29" s="39" t="s">
        <v>186</v>
      </c>
    </row>
    <row r="30" spans="2:7" ht="18.75" customHeight="1" x14ac:dyDescent="0.25"/>
    <row r="31" spans="2:7" ht="18.75" customHeight="1" x14ac:dyDescent="0.25"/>
    <row r="32" spans="2:7" ht="18.75" customHeight="1" x14ac:dyDescent="0.25"/>
    <row r="33" ht="18.75" customHeight="1" x14ac:dyDescent="0.25"/>
    <row r="34" ht="18.75" customHeight="1" x14ac:dyDescent="0.25"/>
    <row r="35" ht="18.75" customHeight="1" x14ac:dyDescent="0.25"/>
    <row r="36" ht="18.75" customHeight="1" x14ac:dyDescent="0.25"/>
    <row r="37" ht="18.75" customHeight="1" x14ac:dyDescent="0.25"/>
    <row r="38" ht="18.75" customHeight="1" x14ac:dyDescent="0.25"/>
    <row r="39" ht="18.75" customHeight="1" x14ac:dyDescent="0.25"/>
    <row r="40" ht="18.75" customHeight="1" x14ac:dyDescent="0.25"/>
    <row r="41" ht="18.75" customHeight="1" x14ac:dyDescent="0.25"/>
    <row r="42" ht="18.75" customHeight="1" x14ac:dyDescent="0.25"/>
    <row r="43" ht="18.75" customHeight="1" x14ac:dyDescent="0.25"/>
    <row r="44" ht="18.75" customHeight="1" x14ac:dyDescent="0.25"/>
    <row r="45" ht="18.75" customHeight="1" x14ac:dyDescent="0.25"/>
    <row r="46" ht="18.75" customHeight="1" x14ac:dyDescent="0.25"/>
    <row r="47" ht="18.75" customHeight="1" x14ac:dyDescent="0.25"/>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F2F2"/>
  </sheetPr>
  <dimension ref="B1:I84"/>
  <sheetViews>
    <sheetView showGridLines="0" zoomScale="125" zoomScaleNormal="125" zoomScalePageLayoutView="125" workbookViewId="0">
      <selection activeCell="E7" sqref="E7"/>
    </sheetView>
  </sheetViews>
  <sheetFormatPr defaultColWidth="10.85546875" defaultRowHeight="14.1" customHeight="1" x14ac:dyDescent="0.25"/>
  <cols>
    <col min="1" max="1" width="2.7109375" style="1" customWidth="1"/>
    <col min="2" max="2" width="6.7109375" style="2" customWidth="1"/>
    <col min="3" max="4" width="7.140625" style="2" customWidth="1"/>
    <col min="5" max="5" width="44.42578125" style="1" customWidth="1"/>
    <col min="6" max="6" width="14.7109375" style="1" customWidth="1"/>
    <col min="7" max="8" width="14.7109375" style="10" customWidth="1"/>
    <col min="9" max="9" width="10.85546875" style="1" customWidth="1"/>
    <col min="10" max="34" width="10.85546875" style="1"/>
    <col min="35" max="57" width="10.85546875" style="1" customWidth="1"/>
    <col min="58" max="16384" width="10.85546875" style="1"/>
  </cols>
  <sheetData>
    <row r="1" spans="2:9" s="9" customFormat="1" ht="9.75" customHeight="1" x14ac:dyDescent="0.25">
      <c r="B1" s="80"/>
    </row>
    <row r="2" spans="2:9" s="8" customFormat="1" ht="37.5" customHeight="1" x14ac:dyDescent="0.25">
      <c r="B2" s="37" t="s">
        <v>187</v>
      </c>
      <c r="C2" s="36"/>
      <c r="D2" s="16"/>
      <c r="G2" s="35"/>
      <c r="H2" s="35"/>
    </row>
    <row r="3" spans="2:9" ht="18.75" customHeight="1" x14ac:dyDescent="0.25">
      <c r="B3" s="256" t="s">
        <v>13</v>
      </c>
      <c r="C3" s="256" t="s">
        <v>188</v>
      </c>
      <c r="D3" s="257" t="s">
        <v>54</v>
      </c>
      <c r="E3" s="256" t="s">
        <v>55</v>
      </c>
      <c r="F3" s="256">
        <v>2018</v>
      </c>
      <c r="G3" s="262">
        <v>2017</v>
      </c>
      <c r="H3" s="262">
        <v>2016</v>
      </c>
    </row>
    <row r="4" spans="2:9" ht="18.75" customHeight="1" x14ac:dyDescent="0.25">
      <c r="B4" s="18">
        <v>1</v>
      </c>
      <c r="C4" s="171"/>
      <c r="D4" s="157"/>
      <c r="E4" s="158" t="s">
        <v>189</v>
      </c>
      <c r="F4" s="266"/>
      <c r="G4" s="265"/>
      <c r="H4" s="265"/>
    </row>
    <row r="5" spans="2:9" ht="18.75" customHeight="1" x14ac:dyDescent="0.25">
      <c r="B5" s="18">
        <f>B4+1</f>
        <v>2</v>
      </c>
      <c r="C5" s="171">
        <v>201</v>
      </c>
      <c r="D5" s="157" t="s">
        <v>190</v>
      </c>
      <c r="E5" s="158" t="s">
        <v>191</v>
      </c>
      <c r="F5" s="265">
        <v>371879339</v>
      </c>
      <c r="G5" s="265">
        <v>349669833</v>
      </c>
      <c r="H5" s="265">
        <v>332586193</v>
      </c>
    </row>
    <row r="6" spans="2:9" ht="18.75" customHeight="1" x14ac:dyDescent="0.25">
      <c r="B6" s="18">
        <f t="shared" ref="B6:B62" si="0">B5+1</f>
        <v>3</v>
      </c>
      <c r="C6" s="171">
        <v>202</v>
      </c>
      <c r="D6" s="157" t="s">
        <v>192</v>
      </c>
      <c r="E6" s="158" t="s">
        <v>193</v>
      </c>
      <c r="F6" s="266"/>
      <c r="G6" s="265"/>
      <c r="H6" s="265"/>
    </row>
    <row r="7" spans="2:9" ht="18.75" customHeight="1" x14ac:dyDescent="0.25">
      <c r="B7" s="18">
        <f t="shared" si="0"/>
        <v>4</v>
      </c>
      <c r="C7" s="171">
        <v>203</v>
      </c>
      <c r="D7" s="157" t="s">
        <v>194</v>
      </c>
      <c r="E7" s="158" t="s">
        <v>195</v>
      </c>
      <c r="F7" s="266"/>
      <c r="G7" s="265"/>
      <c r="H7" s="265"/>
    </row>
    <row r="8" spans="2:9" ht="18.75" customHeight="1" x14ac:dyDescent="0.25">
      <c r="B8" s="18">
        <f t="shared" si="0"/>
        <v>5</v>
      </c>
      <c r="C8" s="171"/>
      <c r="D8" s="157" t="s">
        <v>196</v>
      </c>
      <c r="E8" s="158" t="s">
        <v>197</v>
      </c>
      <c r="F8" s="266"/>
      <c r="G8" s="265"/>
      <c r="H8" s="265"/>
    </row>
    <row r="9" spans="2:9" ht="18.75" customHeight="1" x14ac:dyDescent="0.25">
      <c r="B9" s="18">
        <f t="shared" si="0"/>
        <v>6</v>
      </c>
      <c r="C9" s="171">
        <v>204</v>
      </c>
      <c r="D9" s="157" t="s">
        <v>198</v>
      </c>
      <c r="E9" s="158" t="s">
        <v>199</v>
      </c>
      <c r="F9" s="267">
        <v>4612564</v>
      </c>
      <c r="G9" s="267">
        <v>11981233</v>
      </c>
      <c r="H9" s="267">
        <v>7185508</v>
      </c>
    </row>
    <row r="10" spans="2:9" ht="18.75" customHeight="1" x14ac:dyDescent="0.25">
      <c r="B10" s="18">
        <f t="shared" si="0"/>
        <v>7</v>
      </c>
      <c r="C10" s="171"/>
      <c r="D10" s="157"/>
      <c r="E10" s="158" t="s">
        <v>200</v>
      </c>
      <c r="F10" s="364">
        <f>SUM(F5:F9)</f>
        <v>376491903</v>
      </c>
      <c r="G10" s="364">
        <f>SUM(G5:G9)</f>
        <v>361651066</v>
      </c>
      <c r="H10" s="364">
        <f>SUM(H5:H9)</f>
        <v>339771701</v>
      </c>
    </row>
    <row r="11" spans="2:9" ht="18.75" customHeight="1" x14ac:dyDescent="0.25">
      <c r="B11" s="18">
        <f t="shared" si="0"/>
        <v>8</v>
      </c>
      <c r="C11" s="171"/>
      <c r="D11" s="157"/>
      <c r="E11" s="158"/>
      <c r="F11" s="268"/>
      <c r="G11" s="269"/>
      <c r="H11" s="269"/>
    </row>
    <row r="12" spans="2:9" ht="18.75" customHeight="1" x14ac:dyDescent="0.25">
      <c r="B12" s="18">
        <f t="shared" si="0"/>
        <v>9</v>
      </c>
      <c r="C12" s="171">
        <v>205</v>
      </c>
      <c r="D12" s="157">
        <v>108.1</v>
      </c>
      <c r="E12" s="158" t="s">
        <v>201</v>
      </c>
      <c r="F12" s="266">
        <v>-76920413</v>
      </c>
      <c r="G12" s="270">
        <v>-72240231</v>
      </c>
      <c r="H12" s="270">
        <v>-67611546</v>
      </c>
      <c r="I12" s="1" t="s">
        <v>12</v>
      </c>
    </row>
    <row r="13" spans="2:9" ht="18.75" customHeight="1" x14ac:dyDescent="0.25">
      <c r="B13" s="18">
        <f t="shared" si="0"/>
        <v>10</v>
      </c>
      <c r="C13" s="171"/>
      <c r="D13" s="157"/>
      <c r="E13" s="158" t="s">
        <v>202</v>
      </c>
      <c r="F13" s="266"/>
      <c r="G13" s="265"/>
      <c r="H13" s="265"/>
    </row>
    <row r="14" spans="2:9" ht="18.75" customHeight="1" x14ac:dyDescent="0.25">
      <c r="B14" s="18">
        <f t="shared" si="0"/>
        <v>11</v>
      </c>
      <c r="C14" s="171">
        <v>206</v>
      </c>
      <c r="D14" s="157" t="s">
        <v>203</v>
      </c>
      <c r="E14" s="158" t="s">
        <v>204</v>
      </c>
      <c r="F14" s="265">
        <v>-3292572</v>
      </c>
      <c r="G14" s="265">
        <v>-3360459</v>
      </c>
      <c r="H14" s="265">
        <v>-3377989</v>
      </c>
    </row>
    <row r="15" spans="2:9" ht="18.75" customHeight="1" x14ac:dyDescent="0.25">
      <c r="B15" s="18">
        <f t="shared" si="0"/>
        <v>12</v>
      </c>
      <c r="C15" s="171"/>
      <c r="D15" s="157" t="s">
        <v>205</v>
      </c>
      <c r="E15" s="158" t="s">
        <v>206</v>
      </c>
      <c r="F15" s="266">
        <v>814419</v>
      </c>
      <c r="G15" s="265">
        <v>766397</v>
      </c>
      <c r="H15" s="265">
        <v>718376</v>
      </c>
    </row>
    <row r="16" spans="2:9" ht="18.75" customHeight="1" x14ac:dyDescent="0.25">
      <c r="B16" s="18">
        <f t="shared" si="0"/>
        <v>13</v>
      </c>
      <c r="C16" s="171"/>
      <c r="D16" s="157"/>
      <c r="E16" s="158" t="s">
        <v>207</v>
      </c>
      <c r="F16" s="265">
        <v>-2478153</v>
      </c>
      <c r="G16" s="265">
        <f>SUM(G14:G15)</f>
        <v>-2594062</v>
      </c>
      <c r="H16" s="265">
        <f>SUM(H14:H15)</f>
        <v>-2659613</v>
      </c>
    </row>
    <row r="17" spans="2:8" ht="18.75" customHeight="1" x14ac:dyDescent="0.25">
      <c r="B17" s="18">
        <f t="shared" si="0"/>
        <v>14</v>
      </c>
      <c r="C17" s="171"/>
      <c r="D17" s="157"/>
      <c r="E17" s="158"/>
      <c r="F17" s="266"/>
      <c r="G17" s="265"/>
      <c r="H17" s="265"/>
    </row>
    <row r="18" spans="2:8" ht="18.75" customHeight="1" x14ac:dyDescent="0.25">
      <c r="B18" s="18">
        <f t="shared" si="0"/>
        <v>15</v>
      </c>
      <c r="C18" s="171"/>
      <c r="D18" s="157"/>
      <c r="E18" s="158" t="s">
        <v>208</v>
      </c>
      <c r="F18" s="265">
        <f>F10+F12+F16</f>
        <v>297093337</v>
      </c>
      <c r="G18" s="265">
        <f t="shared" ref="G18:H18" si="1">G10+G12+G16</f>
        <v>286816773</v>
      </c>
      <c r="H18" s="265">
        <f t="shared" si="1"/>
        <v>269500542</v>
      </c>
    </row>
    <row r="19" spans="2:8" ht="18.75" customHeight="1" x14ac:dyDescent="0.25">
      <c r="B19" s="18">
        <f t="shared" si="0"/>
        <v>16</v>
      </c>
      <c r="C19" s="171"/>
      <c r="D19" s="157"/>
      <c r="E19" s="158"/>
      <c r="F19" s="266"/>
      <c r="G19" s="265"/>
      <c r="H19" s="265"/>
    </row>
    <row r="20" spans="2:8" ht="18.75" customHeight="1" x14ac:dyDescent="0.25">
      <c r="B20" s="18">
        <f t="shared" si="0"/>
        <v>17</v>
      </c>
      <c r="C20" s="171"/>
      <c r="D20" s="157"/>
      <c r="E20" s="158" t="s">
        <v>209</v>
      </c>
      <c r="F20" s="266"/>
      <c r="G20" s="265"/>
      <c r="H20" s="265"/>
    </row>
    <row r="21" spans="2:8" ht="18.75" customHeight="1" x14ac:dyDescent="0.25">
      <c r="B21" s="18">
        <f t="shared" si="0"/>
        <v>18</v>
      </c>
      <c r="C21" s="171"/>
      <c r="D21" s="157" t="s">
        <v>210</v>
      </c>
      <c r="E21" s="158" t="s">
        <v>211</v>
      </c>
      <c r="F21" s="265">
        <v>1035849</v>
      </c>
      <c r="G21" s="265">
        <v>1035849</v>
      </c>
      <c r="H21" s="265">
        <v>1009233</v>
      </c>
    </row>
    <row r="22" spans="2:8" ht="18.75" customHeight="1" x14ac:dyDescent="0.25">
      <c r="B22" s="18">
        <f t="shared" si="0"/>
        <v>19</v>
      </c>
      <c r="C22" s="171"/>
      <c r="D22" s="157" t="s">
        <v>212</v>
      </c>
      <c r="E22" s="158" t="s">
        <v>213</v>
      </c>
      <c r="F22" s="265">
        <v>-371029</v>
      </c>
      <c r="G22" s="265">
        <v>-353476</v>
      </c>
      <c r="H22" s="265">
        <v>-324254</v>
      </c>
    </row>
    <row r="23" spans="2:8" ht="18.75" customHeight="1" x14ac:dyDescent="0.25">
      <c r="B23" s="18">
        <f t="shared" si="0"/>
        <v>20</v>
      </c>
      <c r="C23" s="171">
        <v>210</v>
      </c>
      <c r="D23" s="157" t="s">
        <v>214</v>
      </c>
      <c r="E23" s="158" t="s">
        <v>215</v>
      </c>
      <c r="F23" s="266"/>
      <c r="G23" s="265"/>
      <c r="H23" s="265"/>
    </row>
    <row r="24" spans="2:8" ht="18.75" customHeight="1" x14ac:dyDescent="0.25">
      <c r="B24" s="18">
        <f t="shared" si="0"/>
        <v>21</v>
      </c>
      <c r="C24" s="171">
        <v>210</v>
      </c>
      <c r="D24" s="157" t="s">
        <v>216</v>
      </c>
      <c r="E24" s="158" t="s">
        <v>217</v>
      </c>
      <c r="F24" s="266">
        <v>59724</v>
      </c>
      <c r="G24" s="265">
        <v>59724</v>
      </c>
      <c r="H24" s="265">
        <v>59724</v>
      </c>
    </row>
    <row r="25" spans="2:8" ht="18.75" customHeight="1" x14ac:dyDescent="0.25">
      <c r="B25" s="18">
        <f t="shared" si="0"/>
        <v>22</v>
      </c>
      <c r="C25" s="171"/>
      <c r="D25" s="157" t="s">
        <v>218</v>
      </c>
      <c r="E25" s="158" t="s">
        <v>219</v>
      </c>
      <c r="F25" s="271"/>
      <c r="G25" s="267"/>
      <c r="H25" s="267"/>
    </row>
    <row r="26" spans="2:8" ht="18.75" customHeight="1" x14ac:dyDescent="0.25">
      <c r="B26" s="18">
        <f t="shared" si="0"/>
        <v>23</v>
      </c>
      <c r="C26" s="171"/>
      <c r="D26" s="157"/>
      <c r="E26" s="158" t="s">
        <v>220</v>
      </c>
      <c r="F26" s="364">
        <f>SUM(F21:F25)</f>
        <v>724544</v>
      </c>
      <c r="G26" s="364">
        <f>SUM(G21:G25)</f>
        <v>742097</v>
      </c>
      <c r="H26" s="364">
        <f>SUM(H21:H25)</f>
        <v>744703</v>
      </c>
    </row>
    <row r="27" spans="2:8" ht="18.75" customHeight="1" x14ac:dyDescent="0.25">
      <c r="B27" s="18">
        <f t="shared" si="0"/>
        <v>24</v>
      </c>
      <c r="C27" s="171"/>
      <c r="D27" s="157"/>
      <c r="E27" s="158"/>
      <c r="F27" s="268"/>
      <c r="G27" s="269"/>
      <c r="H27" s="269"/>
    </row>
    <row r="28" spans="2:8" ht="18.75" customHeight="1" x14ac:dyDescent="0.25">
      <c r="B28" s="18">
        <f t="shared" si="0"/>
        <v>25</v>
      </c>
      <c r="C28" s="171"/>
      <c r="D28" s="157"/>
      <c r="E28" s="158" t="s">
        <v>221</v>
      </c>
      <c r="F28" s="266"/>
      <c r="G28" s="265"/>
      <c r="H28" s="265"/>
    </row>
    <row r="29" spans="2:8" ht="18.75" customHeight="1" x14ac:dyDescent="0.25">
      <c r="B29" s="18">
        <f t="shared" si="0"/>
        <v>26</v>
      </c>
      <c r="C29" s="171"/>
      <c r="D29" s="157">
        <v>131.1</v>
      </c>
      <c r="E29" s="158" t="s">
        <v>222</v>
      </c>
      <c r="F29" s="266">
        <v>600</v>
      </c>
      <c r="G29" s="265">
        <v>600</v>
      </c>
      <c r="H29" s="265">
        <v>600</v>
      </c>
    </row>
    <row r="30" spans="2:8" ht="18.75" customHeight="1" x14ac:dyDescent="0.25">
      <c r="B30" s="18">
        <f t="shared" si="0"/>
        <v>27</v>
      </c>
      <c r="C30" s="171"/>
      <c r="D30" s="157">
        <v>131.19999999999999</v>
      </c>
      <c r="E30" s="158" t="s">
        <v>223</v>
      </c>
      <c r="F30" s="265">
        <v>-3144675</v>
      </c>
      <c r="G30" s="265">
        <v>-1692272</v>
      </c>
      <c r="H30" s="265">
        <v>4194645</v>
      </c>
    </row>
    <row r="31" spans="2:8" ht="18.75" customHeight="1" x14ac:dyDescent="0.25">
      <c r="B31" s="18">
        <f t="shared" si="0"/>
        <v>28</v>
      </c>
      <c r="C31" s="171"/>
      <c r="D31" s="157" t="s">
        <v>224</v>
      </c>
      <c r="E31" s="158" t="s">
        <v>225</v>
      </c>
      <c r="F31" s="266"/>
      <c r="G31" s="265"/>
      <c r="H31" s="265"/>
    </row>
    <row r="32" spans="2:8" ht="18.75" customHeight="1" x14ac:dyDescent="0.25">
      <c r="B32" s="18">
        <f t="shared" si="0"/>
        <v>29</v>
      </c>
      <c r="C32" s="171"/>
      <c r="D32" s="157" t="s">
        <v>226</v>
      </c>
      <c r="E32" s="158" t="s">
        <v>227</v>
      </c>
      <c r="F32" s="265">
        <v>39362</v>
      </c>
      <c r="G32" s="265">
        <v>40413</v>
      </c>
      <c r="H32" s="265">
        <v>41867</v>
      </c>
    </row>
    <row r="33" spans="2:8" ht="18.75" customHeight="1" x14ac:dyDescent="0.25">
      <c r="B33" s="18">
        <f t="shared" si="0"/>
        <v>30</v>
      </c>
      <c r="C33" s="171"/>
      <c r="D33" s="157" t="s">
        <v>228</v>
      </c>
      <c r="E33" s="158" t="s">
        <v>229</v>
      </c>
      <c r="F33" s="265">
        <v>600</v>
      </c>
      <c r="G33" s="265">
        <v>600</v>
      </c>
      <c r="H33" s="265">
        <v>600</v>
      </c>
    </row>
    <row r="34" spans="2:8" ht="18.75" customHeight="1" x14ac:dyDescent="0.25">
      <c r="B34" s="18">
        <f t="shared" si="0"/>
        <v>31</v>
      </c>
      <c r="C34" s="171">
        <v>210</v>
      </c>
      <c r="D34" s="157" t="s">
        <v>230</v>
      </c>
      <c r="E34" s="158" t="s">
        <v>231</v>
      </c>
      <c r="F34" s="265">
        <v>652</v>
      </c>
      <c r="G34" s="265">
        <v>652</v>
      </c>
      <c r="H34" s="265">
        <v>13510</v>
      </c>
    </row>
    <row r="35" spans="2:8" ht="18.75" customHeight="1" x14ac:dyDescent="0.25">
      <c r="B35" s="18">
        <f t="shared" si="0"/>
        <v>32</v>
      </c>
      <c r="C35" s="171"/>
      <c r="D35" s="157" t="s">
        <v>232</v>
      </c>
      <c r="E35" s="158" t="s">
        <v>233</v>
      </c>
      <c r="F35" s="265">
        <v>4606001</v>
      </c>
      <c r="G35" s="265">
        <v>4545619</v>
      </c>
      <c r="H35" s="265">
        <v>4445750</v>
      </c>
    </row>
    <row r="36" spans="2:8" ht="18.75" customHeight="1" x14ac:dyDescent="0.25">
      <c r="B36" s="18">
        <f t="shared" si="0"/>
        <v>33</v>
      </c>
      <c r="C36" s="171">
        <v>211</v>
      </c>
      <c r="D36" s="157" t="s">
        <v>234</v>
      </c>
      <c r="E36" s="158" t="s">
        <v>235</v>
      </c>
      <c r="F36" s="265">
        <v>385276</v>
      </c>
      <c r="G36" s="265">
        <v>191512</v>
      </c>
      <c r="H36" s="265">
        <v>155553</v>
      </c>
    </row>
    <row r="37" spans="2:8" ht="18.75" customHeight="1" x14ac:dyDescent="0.25">
      <c r="B37" s="18">
        <f t="shared" si="0"/>
        <v>34</v>
      </c>
      <c r="C37" s="171"/>
      <c r="D37" s="157" t="s">
        <v>236</v>
      </c>
      <c r="E37" s="158" t="s">
        <v>237</v>
      </c>
      <c r="F37" s="265">
        <v>-305000</v>
      </c>
      <c r="G37" s="265">
        <v>-305000</v>
      </c>
      <c r="H37" s="265">
        <v>-305000</v>
      </c>
    </row>
    <row r="38" spans="2:8" ht="18.75" customHeight="1" x14ac:dyDescent="0.25">
      <c r="B38" s="18">
        <f t="shared" si="0"/>
        <v>35</v>
      </c>
      <c r="C38" s="171">
        <v>211</v>
      </c>
      <c r="D38" s="157" t="s">
        <v>238</v>
      </c>
      <c r="E38" s="158" t="s">
        <v>239</v>
      </c>
      <c r="F38" s="265">
        <v>255481</v>
      </c>
      <c r="G38" s="265">
        <v>255481</v>
      </c>
      <c r="H38" s="265">
        <v>255481</v>
      </c>
    </row>
    <row r="39" spans="2:8" ht="18.75" customHeight="1" x14ac:dyDescent="0.25">
      <c r="B39" s="18">
        <f t="shared" si="0"/>
        <v>36</v>
      </c>
      <c r="C39" s="171">
        <v>213</v>
      </c>
      <c r="D39" s="157" t="s">
        <v>240</v>
      </c>
      <c r="E39" s="158" t="s">
        <v>241</v>
      </c>
      <c r="F39" s="265">
        <v>5013185</v>
      </c>
      <c r="G39" s="265">
        <v>3397808</v>
      </c>
      <c r="H39" s="265">
        <v>1529608</v>
      </c>
    </row>
    <row r="40" spans="2:8" ht="18.75" customHeight="1" x14ac:dyDescent="0.25">
      <c r="B40" s="18">
        <f t="shared" si="0"/>
        <v>37</v>
      </c>
      <c r="C40" s="171">
        <v>212</v>
      </c>
      <c r="D40" s="157" t="s">
        <v>242</v>
      </c>
      <c r="E40" s="158" t="s">
        <v>243</v>
      </c>
      <c r="F40" s="265"/>
      <c r="G40" s="265"/>
      <c r="H40" s="265"/>
    </row>
    <row r="41" spans="2:8" ht="18.75" customHeight="1" x14ac:dyDescent="0.25">
      <c r="B41" s="18">
        <f t="shared" si="0"/>
        <v>38</v>
      </c>
      <c r="C41" s="171">
        <v>214</v>
      </c>
      <c r="D41" s="157" t="s">
        <v>244</v>
      </c>
      <c r="E41" s="158" t="s">
        <v>245</v>
      </c>
      <c r="F41" s="265">
        <v>875569</v>
      </c>
      <c r="G41" s="265">
        <v>905621</v>
      </c>
      <c r="H41" s="265">
        <v>746309</v>
      </c>
    </row>
    <row r="42" spans="2:8" ht="18.75" customHeight="1" x14ac:dyDescent="0.25">
      <c r="B42" s="18">
        <f t="shared" si="0"/>
        <v>39</v>
      </c>
      <c r="C42" s="171" t="s">
        <v>246</v>
      </c>
      <c r="D42" s="157" t="s">
        <v>247</v>
      </c>
      <c r="E42" s="158" t="s">
        <v>248</v>
      </c>
      <c r="F42" s="265">
        <v>926656</v>
      </c>
      <c r="G42" s="265">
        <v>700578</v>
      </c>
      <c r="H42" s="265">
        <v>666683</v>
      </c>
    </row>
    <row r="43" spans="2:8" ht="18.75" customHeight="1" x14ac:dyDescent="0.25">
      <c r="B43" s="18">
        <f t="shared" si="0"/>
        <v>40</v>
      </c>
      <c r="C43" s="171"/>
      <c r="D43" s="157" t="s">
        <v>249</v>
      </c>
      <c r="E43" s="158" t="s">
        <v>250</v>
      </c>
      <c r="F43" s="265"/>
      <c r="G43" s="265"/>
      <c r="H43" s="265"/>
    </row>
    <row r="44" spans="2:8" ht="18.75" customHeight="1" x14ac:dyDescent="0.25">
      <c r="B44" s="18">
        <f t="shared" si="0"/>
        <v>41</v>
      </c>
      <c r="C44" s="171"/>
      <c r="D44" s="157" t="s">
        <v>251</v>
      </c>
      <c r="E44" s="158" t="s">
        <v>252</v>
      </c>
      <c r="F44" s="265"/>
      <c r="G44" s="265"/>
      <c r="H44" s="265"/>
    </row>
    <row r="45" spans="2:8" ht="18.75" customHeight="1" x14ac:dyDescent="0.25">
      <c r="B45" s="18">
        <f t="shared" si="0"/>
        <v>42</v>
      </c>
      <c r="C45" s="171"/>
      <c r="D45" s="157" t="s">
        <v>253</v>
      </c>
      <c r="E45" s="158" t="s">
        <v>254</v>
      </c>
      <c r="F45" s="267">
        <v>2426681</v>
      </c>
      <c r="G45" s="267">
        <v>2459245</v>
      </c>
      <c r="H45" s="267">
        <v>2428727</v>
      </c>
    </row>
    <row r="46" spans="2:8" ht="18.75" customHeight="1" x14ac:dyDescent="0.25">
      <c r="B46" s="18">
        <f t="shared" si="0"/>
        <v>43</v>
      </c>
      <c r="C46" s="171"/>
      <c r="D46" s="157"/>
      <c r="E46" s="158" t="s">
        <v>255</v>
      </c>
      <c r="F46" s="364">
        <f>SUM(F29:F45)</f>
        <v>11080388</v>
      </c>
      <c r="G46" s="364">
        <f>SUM(G29:G45)</f>
        <v>10500857</v>
      </c>
      <c r="H46" s="364">
        <f>SUM(H29:H45)</f>
        <v>14174333</v>
      </c>
    </row>
    <row r="47" spans="2:8" ht="18.75" customHeight="1" x14ac:dyDescent="0.25">
      <c r="B47" s="18">
        <f t="shared" si="0"/>
        <v>44</v>
      </c>
      <c r="C47" s="171"/>
      <c r="D47" s="157"/>
      <c r="E47" s="158"/>
      <c r="F47" s="268"/>
      <c r="G47" s="269"/>
      <c r="H47" s="269"/>
    </row>
    <row r="48" spans="2:8" ht="18.75" customHeight="1" x14ac:dyDescent="0.25">
      <c r="B48" s="18">
        <f t="shared" si="0"/>
        <v>45</v>
      </c>
      <c r="C48" s="171"/>
      <c r="D48" s="157"/>
      <c r="E48" s="158" t="s">
        <v>256</v>
      </c>
      <c r="F48" s="266"/>
      <c r="G48" s="265"/>
      <c r="H48" s="265"/>
    </row>
    <row r="49" spans="2:8" ht="18.75" customHeight="1" x14ac:dyDescent="0.25">
      <c r="B49" s="18">
        <f t="shared" si="0"/>
        <v>46</v>
      </c>
      <c r="C49" s="171">
        <v>217</v>
      </c>
      <c r="D49" s="157" t="s">
        <v>257</v>
      </c>
      <c r="E49" s="158" t="s">
        <v>258</v>
      </c>
      <c r="F49" s="265">
        <v>2549418</v>
      </c>
      <c r="G49" s="265">
        <v>2691091</v>
      </c>
      <c r="H49" s="265">
        <v>2835501</v>
      </c>
    </row>
    <row r="50" spans="2:8" ht="18.75" customHeight="1" x14ac:dyDescent="0.25">
      <c r="B50" s="18">
        <f t="shared" si="0"/>
        <v>47</v>
      </c>
      <c r="C50" s="171">
        <v>218</v>
      </c>
      <c r="D50" s="157" t="s">
        <v>259</v>
      </c>
      <c r="E50" s="158" t="s">
        <v>260</v>
      </c>
      <c r="F50" s="265"/>
      <c r="G50" s="265"/>
      <c r="H50" s="265"/>
    </row>
    <row r="51" spans="2:8" ht="18.75" customHeight="1" x14ac:dyDescent="0.25">
      <c r="B51" s="18">
        <f t="shared" si="0"/>
        <v>48</v>
      </c>
      <c r="C51" s="171">
        <v>219</v>
      </c>
      <c r="D51" s="157" t="s">
        <v>261</v>
      </c>
      <c r="E51" s="158" t="s">
        <v>262</v>
      </c>
      <c r="F51" s="265">
        <v>156920</v>
      </c>
      <c r="G51" s="265">
        <v>93780</v>
      </c>
      <c r="H51" s="265">
        <v>41239</v>
      </c>
    </row>
    <row r="52" spans="2:8" ht="18.75" customHeight="1" x14ac:dyDescent="0.25">
      <c r="B52" s="18">
        <f t="shared" si="0"/>
        <v>49</v>
      </c>
      <c r="C52" s="171">
        <v>220</v>
      </c>
      <c r="D52" s="157" t="s">
        <v>263</v>
      </c>
      <c r="E52" s="158" t="s">
        <v>264</v>
      </c>
      <c r="F52" s="265"/>
      <c r="G52" s="265"/>
      <c r="H52" s="265"/>
    </row>
    <row r="53" spans="2:8" ht="18.75" customHeight="1" x14ac:dyDescent="0.25">
      <c r="B53" s="18">
        <f t="shared" si="0"/>
        <v>50</v>
      </c>
      <c r="C53" s="171"/>
      <c r="D53" s="157" t="s">
        <v>265</v>
      </c>
      <c r="E53" s="158" t="s">
        <v>266</v>
      </c>
      <c r="F53" s="265"/>
      <c r="G53" s="265"/>
      <c r="H53" s="265"/>
    </row>
    <row r="54" spans="2:8" ht="18.75" customHeight="1" x14ac:dyDescent="0.25">
      <c r="B54" s="18">
        <f t="shared" si="0"/>
        <v>51</v>
      </c>
      <c r="C54" s="171">
        <v>221</v>
      </c>
      <c r="D54" s="157">
        <v>186.1</v>
      </c>
      <c r="E54" s="158" t="s">
        <v>267</v>
      </c>
      <c r="F54" s="265">
        <v>310864</v>
      </c>
      <c r="G54" s="265">
        <v>4708</v>
      </c>
      <c r="H54" s="265">
        <v>465</v>
      </c>
    </row>
    <row r="55" spans="2:8" ht="18.75" customHeight="1" x14ac:dyDescent="0.25">
      <c r="B55" s="18">
        <f t="shared" si="0"/>
        <v>52</v>
      </c>
      <c r="C55" s="171">
        <v>222</v>
      </c>
      <c r="D55" s="157">
        <v>186.2</v>
      </c>
      <c r="E55" s="158" t="s">
        <v>268</v>
      </c>
      <c r="F55" s="265">
        <v>3402475</v>
      </c>
      <c r="G55" s="265">
        <v>3151644</v>
      </c>
      <c r="H55" s="265">
        <v>2830245</v>
      </c>
    </row>
    <row r="56" spans="2:8" ht="18.75" customHeight="1" x14ac:dyDescent="0.25">
      <c r="B56" s="18">
        <f t="shared" si="0"/>
        <v>53</v>
      </c>
      <c r="C56" s="171"/>
      <c r="D56" s="157">
        <v>186.3</v>
      </c>
      <c r="E56" s="158" t="s">
        <v>269</v>
      </c>
      <c r="F56" s="265">
        <v>31993427</v>
      </c>
      <c r="G56" s="265">
        <v>30292810</v>
      </c>
      <c r="H56" s="265">
        <v>33009470</v>
      </c>
    </row>
    <row r="57" spans="2:8" ht="18.75" customHeight="1" x14ac:dyDescent="0.25">
      <c r="B57" s="18">
        <f t="shared" si="0"/>
        <v>54</v>
      </c>
      <c r="C57" s="171"/>
      <c r="D57" s="157" t="s">
        <v>270</v>
      </c>
      <c r="E57" s="158" t="s">
        <v>271</v>
      </c>
      <c r="F57" s="265"/>
      <c r="G57" s="265"/>
      <c r="H57" s="265"/>
    </row>
    <row r="58" spans="2:8" ht="18.75" customHeight="1" x14ac:dyDescent="0.25">
      <c r="B58" s="18">
        <f t="shared" si="0"/>
        <v>55</v>
      </c>
      <c r="C58" s="171" t="s">
        <v>272</v>
      </c>
      <c r="D58" s="157">
        <v>190.1</v>
      </c>
      <c r="E58" s="158" t="s">
        <v>273</v>
      </c>
      <c r="F58" s="265"/>
      <c r="G58" s="265"/>
      <c r="H58" s="265"/>
    </row>
    <row r="59" spans="2:8" ht="18.75" customHeight="1" x14ac:dyDescent="0.25">
      <c r="B59" s="18">
        <f t="shared" si="0"/>
        <v>56</v>
      </c>
      <c r="C59" s="171" t="s">
        <v>272</v>
      </c>
      <c r="D59" s="157">
        <v>190.2</v>
      </c>
      <c r="E59" s="173" t="s">
        <v>274</v>
      </c>
      <c r="F59" s="267"/>
      <c r="G59" s="267"/>
      <c r="H59" s="267"/>
    </row>
    <row r="60" spans="2:8" ht="18.75" customHeight="1" x14ac:dyDescent="0.25">
      <c r="B60" s="18">
        <f t="shared" si="0"/>
        <v>57</v>
      </c>
      <c r="C60" s="171"/>
      <c r="D60" s="157"/>
      <c r="E60" s="173" t="s">
        <v>275</v>
      </c>
      <c r="F60" s="364">
        <f>SUM(F49:F59)</f>
        <v>38413104</v>
      </c>
      <c r="G60" s="364">
        <f>SUM(G49:G59)</f>
        <v>36234033</v>
      </c>
      <c r="H60" s="364">
        <f>SUM(H49:H59)</f>
        <v>38716920</v>
      </c>
    </row>
    <row r="61" spans="2:8" ht="18.75" customHeight="1" x14ac:dyDescent="0.25">
      <c r="B61" s="18">
        <f t="shared" si="0"/>
        <v>58</v>
      </c>
      <c r="C61" s="171"/>
      <c r="D61" s="157"/>
      <c r="E61" s="173"/>
      <c r="F61" s="272"/>
      <c r="G61" s="272"/>
      <c r="H61" s="272"/>
    </row>
    <row r="62" spans="2:8" ht="18.75" customHeight="1" x14ac:dyDescent="0.25">
      <c r="B62" s="18">
        <f t="shared" si="0"/>
        <v>59</v>
      </c>
      <c r="C62" s="171"/>
      <c r="D62" s="157"/>
      <c r="E62" s="173" t="s">
        <v>276</v>
      </c>
      <c r="F62" s="364">
        <f>SUM(F18+F26+F46+F60)</f>
        <v>347311373</v>
      </c>
      <c r="G62" s="364">
        <f>SUM(G18+G26+G46+G60)</f>
        <v>334293760</v>
      </c>
      <c r="H62" s="364">
        <f>SUM(H18+H26+H46+H60)</f>
        <v>323136498</v>
      </c>
    </row>
    <row r="63" spans="2:8" ht="18.75" customHeight="1" x14ac:dyDescent="0.25"/>
    <row r="64" spans="2:8" ht="18.75" customHeight="1" x14ac:dyDescent="0.25">
      <c r="B64" s="39" t="s">
        <v>277</v>
      </c>
    </row>
    <row r="65" ht="18.75" customHeight="1" x14ac:dyDescent="0.25"/>
    <row r="66" ht="18.75" customHeight="1" x14ac:dyDescent="0.25"/>
    <row r="67" ht="18.75" customHeight="1" x14ac:dyDescent="0.25"/>
    <row r="68" ht="18.75" customHeight="1" x14ac:dyDescent="0.25"/>
    <row r="69" ht="18.75" customHeight="1" x14ac:dyDescent="0.25"/>
    <row r="70" ht="18.75" customHeight="1" x14ac:dyDescent="0.25"/>
    <row r="71" ht="18.75" customHeight="1" x14ac:dyDescent="0.25"/>
    <row r="72" ht="18.75" customHeight="1" x14ac:dyDescent="0.25"/>
    <row r="73" ht="18.75" customHeight="1" x14ac:dyDescent="0.25"/>
    <row r="74" ht="18.75" customHeight="1" x14ac:dyDescent="0.25"/>
    <row r="75" ht="18.75" customHeight="1" x14ac:dyDescent="0.25"/>
    <row r="76" ht="18.75" customHeight="1" x14ac:dyDescent="0.25"/>
    <row r="77" ht="18.75" customHeight="1" x14ac:dyDescent="0.25"/>
    <row r="78" ht="18.75" customHeight="1" x14ac:dyDescent="0.25"/>
    <row r="79" ht="18.75" customHeight="1" x14ac:dyDescent="0.25"/>
    <row r="80" ht="18.75" customHeight="1" x14ac:dyDescent="0.25"/>
    <row r="81" ht="18.75" customHeight="1" x14ac:dyDescent="0.25"/>
    <row r="82" ht="18.75" customHeight="1" x14ac:dyDescent="0.25"/>
    <row r="83" ht="18.75" customHeight="1" x14ac:dyDescent="0.25"/>
    <row r="84" ht="18.75" customHeight="1" x14ac:dyDescent="0.25"/>
  </sheetData>
  <pageMargins left="0.75" right="0.75" top="1" bottom="1" header="0.5" footer="0.5"/>
  <pageSetup orientation="portrait" r:id="rId1"/>
  <ignoredErrors>
    <ignoredError sqref="G10:H10" emptyCellReference="1"/>
    <ignoredError sqref="G16:H16" formulaRange="1"/>
  </ignoredError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8221BF9FE84749B7053926730CA1F6" ma:contentTypeVersion="20" ma:contentTypeDescription="Create a new document." ma:contentTypeScope="" ma:versionID="7a028fd0656584903b5f0f41dc7f0cd7">
  <xsd:schema xmlns:xsd="http://www.w3.org/2001/XMLSchema" xmlns:xs="http://www.w3.org/2001/XMLSchema" xmlns:p="http://schemas.microsoft.com/office/2006/metadata/properties" xmlns:ns1="http://schemas.microsoft.com/sharepoint/v3" xmlns:ns2="64c01969-f718-44ff-ad5e-bc7294a945d6" xmlns:ns3="3ee3fb33-86f5-4d88-a3d3-28a15c669ebf" targetNamespace="http://schemas.microsoft.com/office/2006/metadata/properties" ma:root="true" ma:fieldsID="def7b6999a8625482f4231da87179a2a" ns1:_="" ns2:_="" ns3:_="">
    <xsd:import namespace="http://schemas.microsoft.com/sharepoint/v3"/>
    <xsd:import namespace="64c01969-f718-44ff-ad5e-bc7294a945d6"/>
    <xsd:import namespace="3ee3fb33-86f5-4d88-a3d3-28a15c669e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DateTaken" minOccurs="0"/>
                <xsd:element ref="ns2:MediaServiceOCR" minOccurs="0"/>
                <xsd:element ref="ns2:MediaServiceLocation"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c01969-f718-44ff-ad5e-bc7294a945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0ad816ea-8460-453a-b1af-cd753e23c00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e3fb33-86f5-4d88-a3d3-28a15c669eb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4175eb-226f-481c-8ff2-018bff2f9066}" ma:internalName="TaxCatchAll" ma:showField="CatchAllData" ma:web="3ee3fb33-86f5-4d88-a3d3-28a15c669e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3ee3fb33-86f5-4d88-a3d3-28a15c669ebf" xsi:nil="true"/>
    <lcf76f155ced4ddcb4097134ff3c332f xmlns="64c01969-f718-44ff-ad5e-bc7294a945d6">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E4E47574-FB52-4712-9812-9FDA503C24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c01969-f718-44ff-ad5e-bc7294a945d6"/>
    <ds:schemaRef ds:uri="3ee3fb33-86f5-4d88-a3d3-28a15c669e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78CEE9-85E3-4F42-89F9-B376F7536AE9}">
  <ds:schemaRefs>
    <ds:schemaRef ds:uri="http://schemas.microsoft.com/sharepoint/v3/contenttype/forms"/>
  </ds:schemaRefs>
</ds:datastoreItem>
</file>

<file path=customXml/itemProps3.xml><?xml version="1.0" encoding="utf-8"?>
<ds:datastoreItem xmlns:ds="http://schemas.openxmlformats.org/officeDocument/2006/customXml" ds:itemID="{A3AD7688-5AD0-4DF7-B252-8636315B9D80}">
  <ds:schemaRefs>
    <ds:schemaRef ds:uri="http://schemas.microsoft.com/office/2006/metadata/properties"/>
    <ds:schemaRef ds:uri="http://schemas.microsoft.com/office/infopath/2007/PartnerControls"/>
    <ds:schemaRef ds:uri="http://schemas.microsoft.com/sharepoint/v3"/>
    <ds:schemaRef ds:uri="3ee3fb33-86f5-4d88-a3d3-28a15c669ebf"/>
    <ds:schemaRef ds:uri="64c01969-f718-44ff-ad5e-bc7294a945d6"/>
  </ds:schemaRefs>
</ds:datastoreItem>
</file>

<file path=docMetadata/LabelInfo.xml><?xml version="1.0" encoding="utf-8"?>
<clbl:labelList xmlns:clbl="http://schemas.microsoft.com/office/2020/mipLabelMetadata">
  <clbl:label id="{22177130-642f-41d9-9211-74237ad5687d}" enabled="0" method="" siteId="{22177130-642f-41d9-9211-74237ad5687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vt:i4>
      </vt:variant>
    </vt:vector>
  </HeadingPairs>
  <TitlesOfParts>
    <vt:vector size="46" baseType="lpstr">
      <vt:lpstr>1-Contents</vt:lpstr>
      <vt:lpstr>2-Cover</vt:lpstr>
      <vt:lpstr>3-York</vt:lpstr>
      <vt:lpstr>4-Trends</vt:lpstr>
      <vt:lpstr>5-Plant</vt:lpstr>
      <vt:lpstr>6-Deprec</vt:lpstr>
      <vt:lpstr>7-Plant life</vt:lpstr>
      <vt:lpstr>8-CWIP</vt:lpstr>
      <vt:lpstr>9-Assets</vt:lpstr>
      <vt:lpstr>10-Liabilities</vt:lpstr>
      <vt:lpstr>11-Earnings</vt:lpstr>
      <vt:lpstr>12-Debt</vt:lpstr>
      <vt:lpstr>14-Rate base X</vt:lpstr>
      <vt:lpstr>13-Reg A&amp;L</vt:lpstr>
      <vt:lpstr>14-Rate base</vt:lpstr>
      <vt:lpstr>15-Income</vt:lpstr>
      <vt:lpstr>16-Inc compare</vt:lpstr>
      <vt:lpstr>17-Revenues</vt:lpstr>
      <vt:lpstr>18-Expenses</vt:lpstr>
      <vt:lpstr>19-Exp function</vt:lpstr>
      <vt:lpstr>20-Cash flow</vt:lpstr>
      <vt:lpstr>21-Capital</vt:lpstr>
      <vt:lpstr>22-Returns</vt:lpstr>
      <vt:lpstr>23-Rev require</vt:lpstr>
      <vt:lpstr>24-Conversion</vt:lpstr>
      <vt:lpstr>25-Deficiency</vt:lpstr>
      <vt:lpstr>21-Capital X</vt:lpstr>
      <vt:lpstr>25-Deficiency X</vt:lpstr>
      <vt:lpstr>26-Defic-non</vt:lpstr>
      <vt:lpstr>27-Withdrawals</vt:lpstr>
      <vt:lpstr>28-Deliveries</vt:lpstr>
      <vt:lpstr>29-Nonrevenue</vt:lpstr>
      <vt:lpstr>30-Prices</vt:lpstr>
      <vt:lpstr>31-Demand</vt:lpstr>
      <vt:lpstr>32-Usage trends</vt:lpstr>
      <vt:lpstr>30-Prices X</vt:lpstr>
      <vt:lpstr>34-Allocate X</vt:lpstr>
      <vt:lpstr>33-Functionalize</vt:lpstr>
      <vt:lpstr>34-Allocate</vt:lpstr>
      <vt:lpstr>35-Rev increase</vt:lpstr>
      <vt:lpstr>36-Rev detail</vt:lpstr>
      <vt:lpstr>37-Bills</vt:lpstr>
      <vt:lpstr>38-PA rates</vt:lpstr>
      <vt:lpstr>37-Bills X</vt:lpstr>
      <vt:lpstr>39-PA calculator</vt:lpstr>
      <vt:lpstr>'39-PA calculator'!Print_Area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cp:keywords/>
  <dc:description/>
  <cp:lastModifiedBy>West, Erin</cp:lastModifiedBy>
  <cp:revision/>
  <dcterms:created xsi:type="dcterms:W3CDTF">2018-11-02T09:59:00Z</dcterms:created>
  <dcterms:modified xsi:type="dcterms:W3CDTF">2024-09-16T14:39:04Z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0x010100C48221BF9FE84749B7053926730CA1F6</vt:lpwstr>
  </property>
  <property fmtid="{D5CDD505-2E9C-101B-9397-08002B2CF9AE}" pid="3" name="MediaServiceImageTags">
    <vt:lpwstr/>
  </property>
</Properties>
</file>